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330" tabRatio="802" firstSheet="1" activeTab="1"/>
  </bookViews>
  <sheets>
    <sheet name="COPECO2" sheetId="6" state="hidden" r:id="rId1"/>
    <sheet name="Ejecución" sheetId="10" r:id="rId2"/>
    <sheet name="Hoja1" sheetId="13" r:id="rId3"/>
  </sheets>
  <definedNames>
    <definedName name="_xlnm._FilterDatabase" localSheetId="1" hidden="1">Ejecución!$A$2:$L$50</definedName>
  </definedNames>
  <calcPr calcId="162913"/>
</workbook>
</file>

<file path=xl/calcChain.xml><?xml version="1.0" encoding="utf-8"?>
<calcChain xmlns="http://schemas.openxmlformats.org/spreadsheetml/2006/main">
  <c r="H52" i="10" l="1"/>
  <c r="G52" i="10"/>
  <c r="W12" i="13"/>
  <c r="W9" i="13"/>
  <c r="W4" i="13"/>
  <c r="W8" i="13"/>
  <c r="W7" i="13"/>
  <c r="W6" i="13"/>
  <c r="W5" i="13"/>
  <c r="W3" i="13"/>
  <c r="W2" i="13"/>
  <c r="W1" i="13"/>
  <c r="W11" i="13"/>
  <c r="W10" i="13"/>
  <c r="H13" i="10" l="1"/>
  <c r="G13" i="10"/>
  <c r="H3" i="10"/>
  <c r="G3" i="10"/>
  <c r="I4" i="10" l="1"/>
  <c r="J3" i="10"/>
  <c r="K4" i="10" l="1"/>
  <c r="I3" i="10"/>
  <c r="J11" i="10"/>
  <c r="G27" i="10"/>
  <c r="I27" i="10" s="1"/>
  <c r="K27" i="10" s="1"/>
  <c r="G26" i="10"/>
  <c r="I26" i="10" s="1"/>
  <c r="K26" i="10" s="1"/>
  <c r="H26" i="10" s="1"/>
  <c r="F47" i="10"/>
  <c r="G47" i="10" s="1"/>
  <c r="I47" i="10" s="1"/>
  <c r="G25" i="10"/>
  <c r="G28" i="10"/>
  <c r="G29" i="10"/>
  <c r="I29" i="10" s="1"/>
  <c r="K29" i="10" s="1"/>
  <c r="H29" i="10" s="1"/>
  <c r="G12" i="10"/>
  <c r="G11" i="10" s="1"/>
  <c r="G50" i="10"/>
  <c r="I50" i="10" s="1"/>
  <c r="F49" i="10"/>
  <c r="G49" i="10" s="1"/>
  <c r="F48" i="10"/>
  <c r="G48" i="10" s="1"/>
  <c r="J48" i="10" s="1"/>
  <c r="K13" i="6"/>
  <c r="L13" i="6" s="1"/>
  <c r="P13" i="6" s="1"/>
  <c r="O12" i="6"/>
  <c r="R12" i="6" s="1"/>
  <c r="L12" i="6"/>
  <c r="K23" i="6"/>
  <c r="L23" i="6"/>
  <c r="R23" i="6"/>
  <c r="K24" i="6"/>
  <c r="R24" i="6" s="1"/>
  <c r="K25" i="6"/>
  <c r="K26" i="6"/>
  <c r="K27" i="6"/>
  <c r="L27" i="6" s="1"/>
  <c r="R27" i="6"/>
  <c r="K28" i="6"/>
  <c r="R28" i="6" s="1"/>
  <c r="K29" i="6"/>
  <c r="R29" i="6" s="1"/>
  <c r="O29" i="6"/>
  <c r="P29" i="6" s="1"/>
  <c r="K30" i="6"/>
  <c r="L30" i="6"/>
  <c r="K31" i="6"/>
  <c r="K32" i="6"/>
  <c r="R32" i="6" s="1"/>
  <c r="O32" i="6"/>
  <c r="P32" i="6"/>
  <c r="K33" i="6"/>
  <c r="K34" i="6"/>
  <c r="R34" i="6" s="1"/>
  <c r="O34" i="6"/>
  <c r="P34" i="6"/>
  <c r="K35" i="6"/>
  <c r="K36" i="6"/>
  <c r="L36" i="6" s="1"/>
  <c r="K37" i="6"/>
  <c r="O37" i="6" s="1"/>
  <c r="P37" i="6" s="1"/>
  <c r="R37" i="6"/>
  <c r="K38" i="6"/>
  <c r="K39" i="6"/>
  <c r="R39" i="6" s="1"/>
  <c r="O39" i="6"/>
  <c r="P39" i="6"/>
  <c r="K40" i="6"/>
  <c r="O40" i="6"/>
  <c r="P40" i="6"/>
  <c r="K41" i="6"/>
  <c r="O41" i="6" s="1"/>
  <c r="P41" i="6" s="1"/>
  <c r="K42" i="6"/>
  <c r="O42" i="6" s="1"/>
  <c r="P42" i="6" s="1"/>
  <c r="R42" i="6"/>
  <c r="K43" i="6"/>
  <c r="L43" i="6"/>
  <c r="K22" i="6"/>
  <c r="P19" i="6"/>
  <c r="K19" i="6"/>
  <c r="O19" i="6"/>
  <c r="R19" i="6"/>
  <c r="J19" i="6"/>
  <c r="L18" i="6"/>
  <c r="L17" i="6"/>
  <c r="P17" i="6"/>
  <c r="L16" i="6"/>
  <c r="P16" i="6" s="1"/>
  <c r="I16" i="6"/>
  <c r="G16" i="6"/>
  <c r="K10" i="6"/>
  <c r="K9" i="6"/>
  <c r="K17" i="6"/>
  <c r="J17" i="6"/>
  <c r="L26" i="6"/>
  <c r="P18" i="6"/>
  <c r="K18" i="6"/>
  <c r="O18" i="6" s="1"/>
  <c r="R18" i="6" s="1"/>
  <c r="O30" i="6"/>
  <c r="P30" i="6"/>
  <c r="R26" i="6"/>
  <c r="O26" i="6"/>
  <c r="P26" i="6"/>
  <c r="O13" i="6"/>
  <c r="R36" i="6"/>
  <c r="O23" i="6"/>
  <c r="P23" i="6"/>
  <c r="R35" i="6"/>
  <c r="R30" i="6"/>
  <c r="L39" i="6"/>
  <c r="L35" i="6"/>
  <c r="O35" i="6"/>
  <c r="P35" i="6"/>
  <c r="L32" i="6"/>
  <c r="O28" i="6"/>
  <c r="P28" i="6"/>
  <c r="L28" i="6"/>
  <c r="L31" i="6"/>
  <c r="O25" i="6"/>
  <c r="P25" i="6"/>
  <c r="O43" i="6"/>
  <c r="P43" i="6"/>
  <c r="R43" i="6"/>
  <c r="L22" i="6"/>
  <c r="R22" i="6"/>
  <c r="O33" i="6"/>
  <c r="P33" i="6"/>
  <c r="L33" i="6"/>
  <c r="O24" i="6"/>
  <c r="P24" i="6" s="1"/>
  <c r="L42" i="6"/>
  <c r="K16" i="6"/>
  <c r="J16" i="6" s="1"/>
  <c r="O17" i="6"/>
  <c r="R17" i="6"/>
  <c r="O22" i="6"/>
  <c r="P22" i="6" s="1"/>
  <c r="P12" i="6"/>
  <c r="R33" i="6"/>
  <c r="R40" i="6"/>
  <c r="L40" i="6"/>
  <c r="O38" i="6"/>
  <c r="P38" i="6" s="1"/>
  <c r="L38" i="6"/>
  <c r="R38" i="6"/>
  <c r="L34" i="6"/>
  <c r="R31" i="6"/>
  <c r="O31" i="6"/>
  <c r="P31" i="6"/>
  <c r="R25" i="6"/>
  <c r="L25" i="6"/>
  <c r="J24" i="10"/>
  <c r="R13" i="6" l="1"/>
  <c r="R49" i="6" s="1"/>
  <c r="O16" i="6"/>
  <c r="R16" i="6" s="1"/>
  <c r="J18" i="6"/>
  <c r="L24" i="6"/>
  <c r="L37" i="6"/>
  <c r="R41" i="6"/>
  <c r="L41" i="6"/>
  <c r="L29" i="6"/>
  <c r="O27" i="6"/>
  <c r="P27" i="6" s="1"/>
  <c r="P49" i="6" s="1"/>
  <c r="O36" i="6"/>
  <c r="P36" i="6" s="1"/>
  <c r="G24" i="10"/>
  <c r="G56" i="10" s="1"/>
  <c r="I25" i="10"/>
  <c r="K25" i="10" s="1"/>
  <c r="H25" i="10" s="1"/>
  <c r="J47" i="10"/>
  <c r="K47" i="10" s="1"/>
  <c r="H47" i="10" s="1"/>
  <c r="I12" i="10"/>
  <c r="H27" i="10"/>
  <c r="I28" i="10"/>
  <c r="K28" i="10" s="1"/>
  <c r="H28" i="10" s="1"/>
  <c r="J50" i="10"/>
  <c r="K50" i="10" s="1"/>
  <c r="H50" i="10" s="1"/>
  <c r="I48" i="10"/>
  <c r="K48" i="10"/>
  <c r="H48" i="10" s="1"/>
  <c r="I49" i="10"/>
  <c r="J49" i="10"/>
  <c r="G46" i="10"/>
  <c r="I24" i="10" l="1"/>
  <c r="O49" i="6"/>
  <c r="H24" i="10"/>
  <c r="K12" i="10"/>
  <c r="H12" i="10" s="1"/>
  <c r="H11" i="10" s="1"/>
  <c r="I11" i="10"/>
  <c r="J46" i="10"/>
  <c r="J56" i="10" s="1"/>
  <c r="K49" i="10"/>
  <c r="H49" i="10" s="1"/>
  <c r="H46" i="10" s="1"/>
  <c r="I46" i="10"/>
  <c r="I56" i="10" s="1"/>
  <c r="H56" i="10" l="1"/>
</calcChain>
</file>

<file path=xl/sharedStrings.xml><?xml version="1.0" encoding="utf-8"?>
<sst xmlns="http://schemas.openxmlformats.org/spreadsheetml/2006/main" count="364" uniqueCount="146">
  <si>
    <t xml:space="preserve">Ubicación (cuando Aplique)  </t>
  </si>
  <si>
    <t xml:space="preserve">Departamento </t>
  </si>
  <si>
    <t xml:space="preserve">Municipio </t>
  </si>
  <si>
    <t xml:space="preserve">Descripción </t>
  </si>
  <si>
    <t xml:space="preserve">Caserío </t>
  </si>
  <si>
    <t>Monto Estimado</t>
  </si>
  <si>
    <t>Monto Estimado US$</t>
  </si>
  <si>
    <t>TOTAL CARGADO AL CC</t>
  </si>
  <si>
    <t>Agencia Ejecutora</t>
  </si>
  <si>
    <t>Fecha Estimada Terminación</t>
  </si>
  <si>
    <t xml:space="preserve">Método de Contratación </t>
  </si>
  <si>
    <t>Actividades Cargadas al CC</t>
  </si>
  <si>
    <t>Presupuesto estimado para atender Emergencia de Coronavirus (COVID-19)</t>
  </si>
  <si>
    <t>Cantidad</t>
  </si>
  <si>
    <t xml:space="preserve">Precio </t>
  </si>
  <si>
    <t>Unitario</t>
  </si>
  <si>
    <t>Monto</t>
  </si>
  <si>
    <t>Lempiras</t>
  </si>
  <si>
    <t>COPECO</t>
  </si>
  <si>
    <t>Monto Estimado $</t>
  </si>
  <si>
    <t>Fase 1          Marzo</t>
  </si>
  <si>
    <t>Fase3          Mayo</t>
  </si>
  <si>
    <t>Fase 2            Abril</t>
  </si>
  <si>
    <t>Francisco Morazan</t>
  </si>
  <si>
    <t>Solicitada</t>
  </si>
  <si>
    <t>EQUIPO MEDICO</t>
  </si>
  <si>
    <t>Ventilador mecánico para adulto</t>
  </si>
  <si>
    <t>INVENTARIO ACTUAL</t>
  </si>
  <si>
    <t>REQUERIMIENTO</t>
  </si>
  <si>
    <t>MAS TRANSITOS</t>
  </si>
  <si>
    <t>COMPRA DIRECTA</t>
  </si>
  <si>
    <t>Hospital de Torax</t>
  </si>
  <si>
    <t>Tegucigalpa</t>
  </si>
  <si>
    <t>Mejoras a Infraestructura de los Hospitales/ unidades de aislamiento</t>
  </si>
  <si>
    <t>EQUIPAMIENTO MEDICO</t>
  </si>
  <si>
    <t>Hospital móvil (puerto de embarque y desembarque de turistas)</t>
  </si>
  <si>
    <t>Unidad de aislamiento (aeropuerto toncontín)</t>
  </si>
  <si>
    <t>Islas de La Bahía</t>
  </si>
  <si>
    <t>Roatán</t>
  </si>
  <si>
    <t>Francisco Morazán</t>
  </si>
  <si>
    <t>Alcohol Gel Antibacterial</t>
  </si>
  <si>
    <t>Ventiladores, Respiradores y Succionadores mecanicos de flema</t>
  </si>
  <si>
    <t>Cough Assist CA, T70, USA</t>
  </si>
  <si>
    <t>Breas Vivo 65 Ventilator</t>
  </si>
  <si>
    <t>Respironics Trilogy Evo Portable life Support Ventilator</t>
  </si>
  <si>
    <t>Detachable Battery</t>
  </si>
  <si>
    <t>Laboratorio Finlay Presentaciòn 4 onz</t>
  </si>
  <si>
    <t>MAC DEL de Honduras S.A de C.V. Presentaciòn 4 onz</t>
  </si>
  <si>
    <t>COMESTICA INTERNACIONAL S.A DE C.V./COINSA Presentaciòn 4 onz</t>
  </si>
  <si>
    <t>LABORATORIO FRANCELIA S. DE R.L. Presentaciòn 4 onz</t>
  </si>
  <si>
    <t>LABORATORIO CORINFAR S.A DE C.V Presentaciòn 4 onz</t>
  </si>
  <si>
    <t>DROGUERIA PHARMAETICA  S.A  Presentaciòn 4 onz</t>
  </si>
  <si>
    <t>CORPORACION ANDIFAR S.A Presentaciòn 4 onz</t>
  </si>
  <si>
    <t>LABORATIRIO LAIN/VIDA INVERSIONES S.A DE C.V Presentaciòn 4 onz</t>
  </si>
  <si>
    <t>LABORATORIO MC Presentaciòn 4 onz</t>
  </si>
  <si>
    <t>LABORATORIO INFARMA Presentaciòn 4 onz</t>
  </si>
  <si>
    <t>LABORATORIO CIFAR Presentaciòn 4 onz</t>
  </si>
  <si>
    <t>Laboratorio Finlay Presentaciòn 1 Galon</t>
  </si>
  <si>
    <t>MAC DEL de Honduras S.A de C.V. Presentaciòn 1 Galon</t>
  </si>
  <si>
    <t>Tecno Quimica  S.A  de C.V Presentaciòn 1 Galon</t>
  </si>
  <si>
    <t>LABORATORIO FRANCELIA S. DE R.L. Presentaciòn 1 Galon</t>
  </si>
  <si>
    <t>LABORATORIO CORINFAR S.A DE C.V Presentaciòn 1 Galon</t>
  </si>
  <si>
    <t>CORPORACION ANDIFAR S.A Presentaciòn 1 Galon</t>
  </si>
  <si>
    <t>LABORATORIO CHEMEXC Presentaciòn 1 Galon</t>
  </si>
  <si>
    <t>LABORATIRIO LAIN/VIDA INVERSIONES S.A DE C.V Presentaciòn 1 Galon</t>
  </si>
  <si>
    <t>LABORATORIOS QUIMICO FARMACEUTICOS DE HONDURAS S.A DE C.V/QUIMIFAR Presentaciòn 1 Galon</t>
  </si>
  <si>
    <t>LABORATORIO INFARMA Presentaciòn 1 Galon</t>
  </si>
  <si>
    <t>LABORATORIO CIFAR Presentaciòn 1 Galon</t>
  </si>
  <si>
    <t>Contrato Directo</t>
  </si>
  <si>
    <t>Gimnasio Nº1 (villa olimpica)</t>
  </si>
  <si>
    <t>Mejoras de infraestructura</t>
  </si>
  <si>
    <t>Equipamiento</t>
  </si>
  <si>
    <t>HOSPITALES MOVILES</t>
  </si>
  <si>
    <t>INVEST-H</t>
  </si>
  <si>
    <t>GRAN TOTAL</t>
  </si>
  <si>
    <t>Fuente Financiamiento</t>
  </si>
  <si>
    <t>Hospitales Móviles</t>
  </si>
  <si>
    <t>Institución Ejecutora</t>
  </si>
  <si>
    <t>Cantidad
Comprada</t>
  </si>
  <si>
    <t xml:space="preserve">Fondos nacionales </t>
  </si>
  <si>
    <t>Hospital Movil de 91 camas</t>
  </si>
  <si>
    <t>Hospital Movil de 51 camas</t>
  </si>
  <si>
    <t xml:space="preserve">Plantas de Tratamiento de Residuos médicos </t>
  </si>
  <si>
    <t>Pruebas COVID-19 (Bioneer Corea)</t>
  </si>
  <si>
    <t>Flete mas Seguro Pruebas COVID-19 (Bioneer Corea)</t>
  </si>
  <si>
    <t>Insumos Biomédicos (mascarillas)</t>
  </si>
  <si>
    <t>Presupuesto Ejecutado en L</t>
  </si>
  <si>
    <t>EQUIPO DE PROTECCION</t>
  </si>
  <si>
    <t>Precio
Unitario en L</t>
  </si>
  <si>
    <t>Presupuesto Ejecutado en US$</t>
  </si>
  <si>
    <t>Monto Total
Lempiras</t>
  </si>
  <si>
    <t>Presupuesto Total en US$</t>
  </si>
  <si>
    <t>MEDICAMENTOS</t>
  </si>
  <si>
    <t>Microdasyn, Solución Antiséptica, Bidón de 5 lts</t>
  </si>
  <si>
    <t>PASTILLAS HIDROXICLOROQUINA (50% F.01 #426-01-01)</t>
  </si>
  <si>
    <t>Flete y Sefuro PASTILLAS HIDROXICLOROQUINA (50% F.01 #426-01-01)</t>
  </si>
  <si>
    <t xml:space="preserve"> ExiPrep TM 48  para  pruebas COVID  </t>
  </si>
  <si>
    <t xml:space="preserve">ExiPrep  ExiPrep TM96 para  pruebas COVID </t>
  </si>
  <si>
    <t>1 ExiiPrep 96 Lite, Precio Unitario, *A-5150</t>
  </si>
  <si>
    <t xml:space="preserve">4 ExiiPrep 48 Dx </t>
  </si>
  <si>
    <t>MEJORA DE INFRAESTRUCTURA</t>
  </si>
  <si>
    <t>Levantam de informac e Inspección terrenos donde se ubicaran Hospitales (12 consultores)  26/Marzo/2020 y 17/Abril/2020</t>
  </si>
  <si>
    <t>Gastos conexos al Levantam de informac e Inspección terrenos donde se ubicaran Hospitales ,4 consultores  26/Marzo/2020 _Hospedaje 14 días</t>
  </si>
  <si>
    <t>SERVICIO DE DESADUANAJE DE DOS GUIAS AEREAS DHL # 7824690031 Y 7172053394, CORRESPONDIENTES A LA PRIMERA ENTREGA DE 100,000 PRUEBAS</t>
  </si>
  <si>
    <t>COMPLEMENTO SERVICIO DE DESADUANAJE DE DOS GUIAS AEREAS DHL # 7824690031 Y 7172053394, CORRESPONDIENTES A LA PRIMERA ENTREGA DE 100,000 PRUEBAS</t>
  </si>
  <si>
    <t>SERVICIO DE DESADUANAJE DE DOS GUIAS AEREAS DHL AWB # 4465114452 Y 4465120660, CORRESPONDIENTES A LA SEGUNDA ENTREGA DE 100,000 PRUEBAS</t>
  </si>
  <si>
    <t>SERVICIO DE DESADUANAJE DE UNA GUIA AEREAS DHL AWB # 1618773166, CORRESPONDIENTES A LA TERCEERA Y ULTIMA ENTREGA DE 50,000 PRUEBAS</t>
  </si>
  <si>
    <t>PAGO POR FLETE DE MEXICO A HONDURAS DEL MICRODACYN SOLUCION ANTISEPTICA, DE 7,000, BIDONES DE 5 LITROS</t>
  </si>
  <si>
    <t>COMPLEMENTO SERVICIO DE DESADUANAJE DE DOS GUIAS AEREAS DHL AWB # 4465114452 Y 4465120660, CORRESPONDIENTES A LA SEGUNDA ENTREGA DE 100,000 PRUEBAS</t>
  </si>
  <si>
    <t xml:space="preserve"> 2 Kit de extracción (HigherPurityTM Viral RNA) de 250 muestras c/u para un total de 500 muestras</t>
  </si>
  <si>
    <t>Insumos Biomédicos (mascarillas, guantes y termometros)</t>
  </si>
  <si>
    <t>Insumos Biomédicos (batas mascarillas, guantes y protector facial)</t>
  </si>
  <si>
    <t>CONVENIOS CON HOSPITALES</t>
  </si>
  <si>
    <t xml:space="preserve">PAGO POR COSTO DE TRANSPORTE AEREO DEL PRIMER CARGAMENTO DE 1,647KG DE HIDROXYCLOROQUINE SULFATE TABLETS, SHANGAI-CHINA-S.P.S. </t>
  </si>
  <si>
    <t>Pago por costo de transporte aéreo del primer cargamento de Kits ExiPrep TM 96 Lite, ExiPrep TM 48 Dx.</t>
  </si>
  <si>
    <t>Insumos Biomédicos (mascarillas, oximetros y protector facial)</t>
  </si>
  <si>
    <t>Insumos Biomédicos (mascarillas)*</t>
  </si>
  <si>
    <t>*Tasa de Cambio L. 25.00</t>
  </si>
  <si>
    <t>Ver detalle en IAIP</t>
  </si>
  <si>
    <t>BIENES</t>
  </si>
  <si>
    <t>TABLETAS DE INVERMECTINA 6MG</t>
  </si>
  <si>
    <t>Fondos nacionales</t>
  </si>
  <si>
    <t>BIENES,MEDICAMENTOS,TABLETAS DE INVERMECTINA 6MG,0,0,0,0,0,0,0,0,0,0,0,INVEST-H,18000,27.1,487800,19512,1,3,Fondos nacionales );</t>
  </si>
  <si>
    <t>BIENES,MEDICAMENTOS,TABLETAS DE INVERMECTINA 6MG,0,0,0,0,0,0,0,0,0,0,0,INVEST-H,150000,11.2,1680000,67200,1,3,Fondos nacionales );</t>
  </si>
  <si>
    <t>Insumos Biomédicos (mascarillas) (DEVOLUCION DE ANTICIPO)</t>
  </si>
  <si>
    <t>BIENES,CONVENIOS CON HOSPITALES,Insumos Biomédicos (mascarillas) (DEVOLUCION DE ANTICIPO),0,0,0,0,0,0,0,0,0,0,0,INVEST-H,474000,107.25,-20334600,-813384,1,3,Fondos nacionales );</t>
  </si>
  <si>
    <t>BIENES,CONVENIOS CON HOSPITALES,Insumos Biomédicos (mascarillas),0,0,0,0,0,0,0,0,0,0,0,INVEST-H,1401988,8.69228499815976,12186479.26,490695.8,1,3,Fondos nacionales );</t>
  </si>
  <si>
    <t>Insumos Biomédicos (mascarillas y protector facial)</t>
  </si>
  <si>
    <t>BIENES,CONVENIOS CON HOSPITALES,Insumos Biomédicos (mascarillas y protector facial),0,0,0,0,0,0,0,0,0,0,0,INVEST-H,Ver detalle en IAIP,Ver detalle en IAIP,7659429.22,306377.1688,1,3,Fondos nacionales );</t>
  </si>
  <si>
    <t>SERVICIO DE DESADUANAJE DE UNA GUIA AEREA DHL #2301310535, CORRESPONDIENTE A ENTREGA DE HigherPurity TM Viral RNA Extracción, Kit de extracción para 500 muestras compradas al Proveedor CAPRIS MEDICA, COSTA RICA.</t>
  </si>
  <si>
    <t>BIENES,EQUIPO MEDICO,SERVICIO DE DESADUANAJE DE UNA GUIA AEREA DHL #2301310535, CORRESPONDIENTE A ENTREGA DE HigherPurity TM Viral RNA Extracción, Kit de extracción para 500 muestras compradas al Proveedor CAPRIS MEDICA, COSTA RICA.,0,0,0,0,0,0,0,0,0,0,0,INVEST-H,1,1,7812.03,312.4812,1,3,Fondos nacionales );</t>
  </si>
  <si>
    <t>SERVICIO DE DESADUANAJE DE UNA GUIA AEREA DHL #3616835423, CORRESPONDIENTE A LA ENTREGA DE 10,000 MASCARILLAS DE 3 CAPAS, COMO PARTE DE LOS INSUMOS DE LOS HOSPITALES MOVILES.</t>
  </si>
  <si>
    <t>BIENES,EQUIPO MEDICO,SERVICIO DE DESADUANAJE DE UNA GUIA AEREA DHL #3616835423, CORRESPONDIENTE A LA ENTREGA DE 10,000 MASCARILLAS DE 3 CAPAS, COMO PARTE DE LOS INSUMOS DE LOS HOSPITALES MOVILES.,0,0,0,0,0,0,0,0,0,0,0,INVEST-H,1,1,5489.13,219.5652,1,3,Fondos nacionales );</t>
  </si>
  <si>
    <t>SERVICIO DE DESADUANAJE DE UNA GUIA AEREA DHL #3616834045, CORRESPONDIENTE A LA ENTREGA DE 10,000 MASCARILLAS DE 3 CAPAS, COMO PARTE DE LOS INSUMOS DE LOS HOSPITALES MOVILES.</t>
  </si>
  <si>
    <t>BIENES,EQUIPO MEDICO,SERVICIO DE DESADUANAJE DE UNA GUIA AEREA DHL #3616834045, CORRESPONDIENTE A LA ENTREGA DE 10,000 MASCARILLAS DE 3 CAPAS, COMO PARTE DE LOS INSUMOS DE LOS HOSPITALES MOVILES.,0,0,0,0,0,0,0,0,0,0,0,INVEST-H,1,1,5489.13,219.5652,1,3,Fondos nacionales );</t>
  </si>
  <si>
    <t>Kit de Extracción ARN Zymo Quick-RNA Viral Kit (200 reacciones)</t>
  </si>
  <si>
    <t>BIENES,EQUIPO MEDICO,Kit de Extracción ARN Zymo Quick-RNA Viral Kit (200 reacciones),0,0,0,0,0,0,0,0,0,0,0,INVEST-H,75,21366.3730666667,1602477.98,64500,1,3,Fondos nacionales );</t>
  </si>
  <si>
    <t>Insumos Biomédicos (anteojos descartables)</t>
  </si>
  <si>
    <t>BIENES,CONVENIOS CON HOSPITALES,Insumos Biomédicos (anteojos descartables),0,0,0,0,0,0,0,0,0,0,0,INVEST-H,9190,198.8257,1827208.26,73611.9,1,3,Fondos nacionales );</t>
  </si>
  <si>
    <t>PAGO DEL 60% DE ANTICIPO POR EL EQUIPAMIENTO DE 129 VENTILADORES MECANICOS PULMONARES COMPRADOS POR COPECO.</t>
  </si>
  <si>
    <t>BIENES,EQUIPO MEDICO,PAGO DEL 60% DE ANTICIPO POR EL EQUIPAMIENTO DE 129 VENTILADORES MECANICOS PULMONARES COMPRADOS POR COPECO.,0,0,0,0,0,0,0,0,0,0,0,INVEST-H,1,1,2761245,110449.8,1,3,Fondos nacionales );</t>
  </si>
  <si>
    <t>OBRAS</t>
  </si>
  <si>
    <t>PAGO 1 SEGÚN CONTRATO No.CD-DCPV-116-2020 DE OBRA PARA LA CONSTRUCCION DE PLANTEL E INSTALACION DE HOSPITAL DE AISLAMIENTO MOVIL DE 91 CAMAS EN LA CIUDAD DE TEGUCIGALA.</t>
  </si>
  <si>
    <t>OBRAS,MEJORA DE INFRAESTRUCTURA,PAGO 1 SEGÚN CONTRATO No.CD-DCPV-116-2020 DE OBRA PARA LA CONSTRUCCION DE PLANTEL E INSTALACION DE HOSPITAL DE AISLAMIENTO MOVIL DE 91 CAMAS EN LA CIUDAD DE TEGUCIGALA.,0,0,0,0,0,0,0,0,0,0,0,INVEST-H,1,1,1940512.64,77620.5056,3,3,Fondos nacionales );</t>
  </si>
  <si>
    <t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</t>
  </si>
  <si>
    <r>
      <rPr>
        <b/>
        <sz val="16"/>
        <color indexed="10"/>
        <rFont val="Calibri"/>
        <family val="2"/>
      </rPr>
      <t xml:space="preserve">Ejecución al 12 junio 2020 </t>
    </r>
    <r>
      <rPr>
        <b/>
        <sz val="16"/>
        <rFont val="Calibri"/>
        <family val="2"/>
      </rPr>
      <t xml:space="preserve">INVESTH-Presupuesto (COVID-19)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</si>
</sst>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L&quot;* #,##0.00_-;\-&quot;L&quot;* #,##0.00_-;_-&quot;L&quot;* &quot;-&quot;??_-;_-@_-"/>
    <numFmt numFmtId="165" formatCode="_-* #,##0.00_-;\-* #,##0.00_-;_-* &quot;-&quot;??_-;_-@_-"/>
    <numFmt numFmtId="166" formatCode="_-[$$-409]* #,##0.00_ ;_-[$$-409]* \-#,##0.00\ ;_-[$$-409]* &quot;-&quot;??_ ;_-@_ "/>
    <numFmt numFmtId="167" formatCode="_-[$$-540A]* #,##0.00_ ;_-[$$-540A]* \-#,##0.00\ ;_-[$$-540A]* &quot;-&quot;??_ ;_-@_ "/>
    <numFmt numFmtId="168" formatCode="_-* #,##0_-;\-* #,##0_-;_-* &quot;-&quot;??_-;_-@_-"/>
    <numFmt numFmtId="169" formatCode="_-* #,##0.0000_-;\-* #,##0.0000_-;_-* &quot;-&quot;??_-;_-@_-"/>
  </numFmts>
  <fonts count="9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167" fontId="0" fillId="0" borderId="1" xfId="0" applyNumberFormat="1" applyBorder="1"/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165" fontId="3" fillId="0" borderId="1" xfId="1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64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 vertical="center" wrapText="1"/>
    </xf>
    <xf numFmtId="164" fontId="3" fillId="0" borderId="1" xfId="2" applyFont="1" applyBorder="1"/>
    <xf numFmtId="0" fontId="0" fillId="0" borderId="1" xfId="0" applyFont="1" applyBorder="1" applyAlignment="1">
      <alignment horizontal="left" vertical="center"/>
    </xf>
    <xf numFmtId="0" fontId="0" fillId="0" borderId="0" xfId="0" applyAlignment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164" fontId="3" fillId="0" borderId="0" xfId="2" applyFont="1"/>
    <xf numFmtId="0" fontId="0" fillId="0" borderId="4" xfId="0" applyBorder="1" applyAlignment="1">
      <alignment horizontal="left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right"/>
    </xf>
    <xf numFmtId="164" fontId="3" fillId="0" borderId="4" xfId="2" applyFont="1" applyBorder="1"/>
    <xf numFmtId="165" fontId="0" fillId="0" borderId="4" xfId="0" applyNumberFormat="1" applyBorder="1"/>
    <xf numFmtId="164" fontId="4" fillId="0" borderId="5" xfId="2" applyFont="1" applyBorder="1"/>
    <xf numFmtId="166" fontId="4" fillId="0" borderId="5" xfId="0" applyNumberFormat="1" applyFont="1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4" borderId="7" xfId="0" applyFill="1" applyBorder="1"/>
    <xf numFmtId="0" fontId="0" fillId="4" borderId="1" xfId="0" applyFill="1" applyBorder="1" applyAlignment="1">
      <alignment horizontal="right" vertical="center" wrapText="1"/>
    </xf>
    <xf numFmtId="0" fontId="0" fillId="4" borderId="8" xfId="0" applyFill="1" applyBorder="1" applyAlignment="1">
      <alignment horizontal="right" vertical="center" wrapText="1"/>
    </xf>
    <xf numFmtId="165" fontId="0" fillId="4" borderId="7" xfId="0" applyNumberFormat="1" applyFill="1" applyBorder="1"/>
    <xf numFmtId="165" fontId="0" fillId="4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164" fontId="3" fillId="4" borderId="10" xfId="2" applyFont="1" applyFill="1" applyBorder="1"/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164" fontId="3" fillId="5" borderId="1" xfId="2" applyFont="1" applyFill="1" applyBorder="1"/>
    <xf numFmtId="165" fontId="0" fillId="5" borderId="1" xfId="0" applyNumberFormat="1" applyFill="1" applyBorder="1"/>
    <xf numFmtId="0" fontId="6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6" fillId="4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8" fontId="6" fillId="0" borderId="0" xfId="1" applyNumberFormat="1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0" xfId="2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5" fontId="6" fillId="0" borderId="11" xfId="1" applyNumberFormat="1" applyFont="1" applyBorder="1" applyAlignment="1">
      <alignment vertical="center" wrapText="1"/>
    </xf>
    <xf numFmtId="168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68" fontId="7" fillId="4" borderId="1" xfId="2" applyNumberFormat="1" applyFont="1" applyFill="1" applyBorder="1" applyAlignment="1">
      <alignment horizontal="right" vertical="center" wrapText="1"/>
    </xf>
    <xf numFmtId="168" fontId="6" fillId="0" borderId="1" xfId="2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168" fontId="6" fillId="0" borderId="8" xfId="1" applyNumberFormat="1" applyFont="1" applyFill="1" applyBorder="1" applyAlignment="1">
      <alignment vertical="center" wrapText="1"/>
    </xf>
    <xf numFmtId="168" fontId="7" fillId="4" borderId="8" xfId="2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168" fontId="6" fillId="0" borderId="13" xfId="1" applyNumberFormat="1" applyFont="1" applyBorder="1" applyAlignment="1">
      <alignment vertical="center" wrapText="1"/>
    </xf>
    <xf numFmtId="165" fontId="7" fillId="4" borderId="14" xfId="1" applyNumberFormat="1" applyFont="1" applyFill="1" applyBorder="1" applyAlignment="1">
      <alignment horizontal="right" vertical="center" wrapText="1"/>
    </xf>
    <xf numFmtId="165" fontId="7" fillId="7" borderId="12" xfId="2" applyNumberFormat="1" applyFont="1" applyFill="1" applyBorder="1" applyAlignment="1">
      <alignment vertical="center" wrapText="1"/>
    </xf>
    <xf numFmtId="165" fontId="7" fillId="4" borderId="15" xfId="1" applyNumberFormat="1" applyFont="1" applyFill="1" applyBorder="1" applyAlignment="1">
      <alignment horizontal="right" vertical="center" wrapText="1"/>
    </xf>
    <xf numFmtId="165" fontId="6" fillId="0" borderId="1" xfId="2" applyNumberFormat="1" applyFont="1" applyFill="1" applyBorder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5" fontId="7" fillId="4" borderId="1" xfId="2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168" fontId="7" fillId="0" borderId="1" xfId="2" applyNumberFormat="1" applyFont="1" applyFill="1" applyBorder="1" applyAlignment="1">
      <alignment horizontal="right" vertical="center" wrapText="1"/>
    </xf>
    <xf numFmtId="165" fontId="7" fillId="0" borderId="1" xfId="2" applyNumberFormat="1" applyFont="1" applyFill="1" applyBorder="1" applyAlignment="1">
      <alignment horizontal="right" vertical="center" wrapText="1"/>
    </xf>
    <xf numFmtId="168" fontId="6" fillId="0" borderId="0" xfId="1" applyNumberFormat="1" applyFont="1" applyFill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right" vertical="center" wrapText="1"/>
    </xf>
    <xf numFmtId="168" fontId="6" fillId="0" borderId="15" xfId="2" applyNumberFormat="1" applyFont="1" applyFill="1" applyBorder="1" applyAlignment="1">
      <alignment vertical="center" wrapText="1"/>
    </xf>
    <xf numFmtId="168" fontId="6" fillId="0" borderId="14" xfId="1" applyNumberFormat="1" applyFont="1" applyFill="1" applyBorder="1" applyAlignment="1">
      <alignment vertical="center" wrapText="1"/>
    </xf>
    <xf numFmtId="168" fontId="6" fillId="0" borderId="0" xfId="1" applyNumberFormat="1" applyFont="1" applyBorder="1" applyAlignment="1">
      <alignment vertical="center" wrapText="1"/>
    </xf>
    <xf numFmtId="165" fontId="6" fillId="0" borderId="24" xfId="1" applyNumberFormat="1" applyFont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2" applyFont="1" applyBorder="1" applyAlignment="1">
      <alignment horizontal="right" vertical="center" wrapText="1"/>
    </xf>
    <xf numFmtId="167" fontId="3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8" fontId="6" fillId="0" borderId="11" xfId="1" applyNumberFormat="1" applyFont="1" applyFill="1" applyBorder="1" applyAlignment="1">
      <alignment vertical="center" wrapText="1"/>
    </xf>
    <xf numFmtId="168" fontId="7" fillId="0" borderId="14" xfId="2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67" fontId="3" fillId="0" borderId="0" xfId="1" applyNumberFormat="1" applyFont="1" applyBorder="1" applyAlignment="1">
      <alignment vertical="center" wrapText="1"/>
    </xf>
    <xf numFmtId="165" fontId="6" fillId="0" borderId="0" xfId="1" applyFont="1" applyBorder="1" applyAlignment="1">
      <alignment vertical="center" wrapText="1"/>
    </xf>
    <xf numFmtId="165" fontId="6" fillId="0" borderId="0" xfId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68" fontId="6" fillId="0" borderId="10" xfId="2" applyNumberFormat="1" applyFont="1" applyFill="1" applyBorder="1" applyAlignment="1">
      <alignment vertical="center" wrapText="1"/>
    </xf>
    <xf numFmtId="168" fontId="7" fillId="4" borderId="10" xfId="2" applyNumberFormat="1" applyFont="1" applyFill="1" applyBorder="1" applyAlignment="1">
      <alignment horizontal="right" vertical="center" wrapText="1"/>
    </xf>
    <xf numFmtId="168" fontId="6" fillId="0" borderId="25" xfId="2" applyNumberFormat="1" applyFont="1" applyFill="1" applyBorder="1" applyAlignment="1">
      <alignment vertical="center" wrapText="1"/>
    </xf>
    <xf numFmtId="168" fontId="7" fillId="0" borderId="26" xfId="2" applyNumberFormat="1" applyFont="1" applyFill="1" applyBorder="1" applyAlignment="1">
      <alignment horizontal="right" vertical="center" wrapText="1"/>
    </xf>
    <xf numFmtId="168" fontId="7" fillId="7" borderId="5" xfId="2" applyNumberFormat="1" applyFont="1" applyFill="1" applyBorder="1" applyAlignment="1">
      <alignment horizontal="left" vertical="center" wrapText="1" indent="1"/>
    </xf>
    <xf numFmtId="164" fontId="6" fillId="4" borderId="1" xfId="2" applyFont="1" applyFill="1" applyBorder="1" applyAlignment="1">
      <alignment horizontal="right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64" fontId="6" fillId="0" borderId="1" xfId="2" applyFont="1" applyBorder="1" applyAlignment="1">
      <alignment horizontal="center" vertical="center" wrapText="1"/>
    </xf>
    <xf numFmtId="168" fontId="6" fillId="0" borderId="1" xfId="2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168" fontId="7" fillId="6" borderId="2" xfId="1" applyNumberFormat="1" applyFont="1" applyFill="1" applyBorder="1" applyAlignment="1">
      <alignment horizontal="center" vertical="center" wrapText="1"/>
    </xf>
    <xf numFmtId="164" fontId="7" fillId="6" borderId="2" xfId="2" applyFont="1" applyFill="1" applyBorder="1" applyAlignment="1">
      <alignment horizontal="center" vertical="center" wrapText="1"/>
    </xf>
    <xf numFmtId="164" fontId="7" fillId="6" borderId="18" xfId="2" applyFont="1" applyFill="1" applyBorder="1" applyAlignment="1">
      <alignment horizontal="center" vertical="center" wrapText="1"/>
    </xf>
    <xf numFmtId="165" fontId="7" fillId="4" borderId="8" xfId="2" applyNumberFormat="1" applyFont="1" applyFill="1" applyBorder="1" applyAlignment="1">
      <alignment horizontal="right" vertical="center" wrapText="1"/>
    </xf>
    <xf numFmtId="165" fontId="6" fillId="0" borderId="8" xfId="2" applyNumberFormat="1" applyFont="1" applyFill="1" applyBorder="1" applyAlignment="1">
      <alignment vertical="center" wrapText="1"/>
    </xf>
    <xf numFmtId="165" fontId="7" fillId="0" borderId="8" xfId="2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168" fontId="6" fillId="0" borderId="8" xfId="2" applyNumberFormat="1" applyFont="1" applyBorder="1" applyAlignment="1">
      <alignment horizontal="right" vertical="center" wrapText="1"/>
    </xf>
    <xf numFmtId="0" fontId="7" fillId="7" borderId="2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" xfId="1" applyNumberFormat="1" applyFont="1" applyBorder="1" applyAlignment="1">
      <alignment horizontal="center" vertical="center"/>
    </xf>
    <xf numFmtId="164" fontId="3" fillId="0" borderId="27" xfId="2" applyFont="1" applyBorder="1" applyAlignment="1">
      <alignment vertical="center"/>
    </xf>
    <xf numFmtId="164" fontId="6" fillId="0" borderId="1" xfId="2" applyFont="1" applyBorder="1" applyAlignment="1">
      <alignment vertical="center" wrapText="1"/>
    </xf>
    <xf numFmtId="168" fontId="6" fillId="0" borderId="8" xfId="1" applyNumberFormat="1" applyFont="1" applyFill="1" applyBorder="1" applyAlignment="1">
      <alignment horizontal="center" vertical="center" wrapText="1"/>
    </xf>
    <xf numFmtId="165" fontId="6" fillId="0" borderId="8" xfId="1" applyFont="1" applyFill="1" applyBorder="1" applyAlignment="1">
      <alignment horizontal="center" vertical="center" wrapText="1"/>
    </xf>
    <xf numFmtId="165" fontId="6" fillId="0" borderId="1" xfId="1" applyFont="1" applyFill="1" applyBorder="1" applyAlignment="1">
      <alignment horizontal="center" vertical="center" wrapText="1"/>
    </xf>
    <xf numFmtId="165" fontId="7" fillId="4" borderId="1" xfId="1" applyFont="1" applyFill="1" applyBorder="1" applyAlignment="1">
      <alignment horizontal="center" vertical="center" wrapText="1"/>
    </xf>
    <xf numFmtId="168" fontId="6" fillId="0" borderId="28" xfId="1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4" xfId="1" applyFont="1" applyFill="1" applyBorder="1" applyAlignment="1">
      <alignment horizontal="center" vertical="center" wrapText="1"/>
    </xf>
    <xf numFmtId="165" fontId="6" fillId="0" borderId="27" xfId="1" applyFont="1" applyFill="1" applyBorder="1" applyAlignment="1">
      <alignment horizontal="center" vertical="center" wrapText="1"/>
    </xf>
    <xf numFmtId="0" fontId="0" fillId="8" borderId="0" xfId="0" quotePrefix="1" applyFill="1"/>
    <xf numFmtId="0" fontId="0" fillId="8" borderId="0" xfId="0" applyFill="1"/>
    <xf numFmtId="0" fontId="0" fillId="0" borderId="0" xfId="0" quotePrefix="1"/>
    <xf numFmtId="165" fontId="0" fillId="0" borderId="0" xfId="1" applyFont="1"/>
    <xf numFmtId="164" fontId="6" fillId="9" borderId="1" xfId="4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167" fontId="6" fillId="9" borderId="8" xfId="3" applyNumberFormat="1" applyFont="1" applyFill="1" applyBorder="1" applyAlignment="1">
      <alignment vertical="center" wrapText="1"/>
    </xf>
    <xf numFmtId="167" fontId="3" fillId="0" borderId="7" xfId="1" applyNumberFormat="1" applyFont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3" fontId="6" fillId="9" borderId="0" xfId="3" applyNumberFormat="1" applyFont="1" applyFill="1" applyBorder="1" applyAlignment="1">
      <alignment horizontal="center" vertical="center"/>
    </xf>
    <xf numFmtId="0" fontId="0" fillId="8" borderId="1" xfId="0" applyFill="1" applyBorder="1"/>
    <xf numFmtId="164" fontId="6" fillId="9" borderId="0" xfId="4" applyFont="1" applyFill="1" applyBorder="1" applyAlignment="1">
      <alignment vertical="center" wrapText="1"/>
    </xf>
    <xf numFmtId="164" fontId="3" fillId="9" borderId="0" xfId="4" applyFont="1" applyFill="1" applyBorder="1" applyAlignment="1">
      <alignment vertical="center"/>
    </xf>
    <xf numFmtId="0" fontId="0" fillId="8" borderId="27" xfId="0" applyFill="1" applyBorder="1"/>
    <xf numFmtId="165" fontId="0" fillId="0" borderId="1" xfId="1" applyFont="1" applyBorder="1"/>
    <xf numFmtId="165" fontId="0" fillId="8" borderId="1" xfId="1" applyFont="1" applyFill="1" applyBorder="1"/>
    <xf numFmtId="167" fontId="6" fillId="9" borderId="0" xfId="3" applyNumberFormat="1" applyFont="1" applyFill="1" applyBorder="1" applyAlignment="1">
      <alignment vertical="center" wrapText="1"/>
    </xf>
    <xf numFmtId="165" fontId="0" fillId="0" borderId="8" xfId="1" applyFont="1" applyBorder="1"/>
    <xf numFmtId="165" fontId="6" fillId="9" borderId="0" xfId="3" applyFont="1" applyFill="1" applyBorder="1" applyAlignment="1">
      <alignment horizontal="center" vertical="center" wrapText="1"/>
    </xf>
    <xf numFmtId="165" fontId="0" fillId="8" borderId="8" xfId="1" applyFont="1" applyFill="1" applyBorder="1"/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16" xfId="2" applyFont="1" applyFill="1" applyBorder="1" applyAlignment="1">
      <alignment horizontal="center" vertical="center" wrapText="1"/>
    </xf>
    <xf numFmtId="164" fontId="4" fillId="2" borderId="17" xfId="2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3:T50"/>
  <sheetViews>
    <sheetView topLeftCell="B1" zoomScale="110" zoomScaleNormal="110" workbookViewId="0">
      <selection activeCell="H6" sqref="H6"/>
    </sheetView>
  </sheetViews>
  <sheetFormatPr baseColWidth="10" defaultColWidth="12.140625" defaultRowHeight="15" x14ac:dyDescent="0.25"/>
  <cols>
    <col min="2" max="2" width="36.28515625" style="10" bestFit="1" customWidth="1"/>
    <col min="3" max="3" width="19.28515625" customWidth="1"/>
    <col min="4" max="4" width="13.28515625" customWidth="1"/>
    <col min="5" max="5" width="7.140625" bestFit="1" customWidth="1"/>
    <col min="6" max="6" width="9.28515625" style="2" bestFit="1" customWidth="1"/>
    <col min="7" max="7" width="13.7109375" style="23" bestFit="1" customWidth="1"/>
    <col min="8" max="8" width="13.7109375" style="2" customWidth="1"/>
    <col min="9" max="9" width="16.140625" style="27" customWidth="1"/>
    <col min="10" max="10" width="14" bestFit="1" customWidth="1"/>
    <col min="11" max="11" width="17.28515625" customWidth="1"/>
    <col min="12" max="12" width="16.28515625" bestFit="1" customWidth="1"/>
    <col min="13" max="13" width="14" bestFit="1" customWidth="1"/>
    <col min="14" max="14" width="16.85546875" bestFit="1" customWidth="1"/>
    <col min="15" max="15" width="16.140625" style="36" bestFit="1" customWidth="1"/>
    <col min="16" max="16" width="14.7109375" customWidth="1"/>
    <col min="17" max="17" width="13.140625" bestFit="1" customWidth="1"/>
    <col min="18" max="18" width="16.140625" bestFit="1" customWidth="1"/>
    <col min="19" max="20" width="13.28515625" bestFit="1" customWidth="1"/>
    <col min="21" max="21" width="13.7109375" bestFit="1" customWidth="1"/>
  </cols>
  <sheetData>
    <row r="3" spans="1:20" ht="21" x14ac:dyDescent="0.35">
      <c r="B3" s="184" t="s">
        <v>12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20" ht="15.75" thickBot="1" x14ac:dyDescent="0.3"/>
    <row r="5" spans="1:20" ht="30.75" customHeight="1" x14ac:dyDescent="0.25">
      <c r="B5" s="185" t="s">
        <v>3</v>
      </c>
      <c r="C5" s="187" t="s">
        <v>0</v>
      </c>
      <c r="D5" s="187"/>
      <c r="E5" s="187"/>
      <c r="F5" s="187" t="s">
        <v>8</v>
      </c>
      <c r="G5" s="24" t="s">
        <v>13</v>
      </c>
      <c r="H5" s="12" t="s">
        <v>27</v>
      </c>
      <c r="I5" s="28" t="s">
        <v>28</v>
      </c>
      <c r="J5" s="12" t="s">
        <v>14</v>
      </c>
      <c r="K5" s="12" t="s">
        <v>16</v>
      </c>
      <c r="L5" s="187" t="s">
        <v>6</v>
      </c>
      <c r="M5" s="187" t="s">
        <v>9</v>
      </c>
      <c r="N5" s="187" t="s">
        <v>10</v>
      </c>
      <c r="O5" s="189" t="s">
        <v>5</v>
      </c>
      <c r="P5" s="191" t="s">
        <v>19</v>
      </c>
      <c r="Q5" s="182" t="s">
        <v>11</v>
      </c>
      <c r="R5" s="182" t="s">
        <v>20</v>
      </c>
      <c r="S5" s="182" t="s">
        <v>22</v>
      </c>
      <c r="T5" s="182" t="s">
        <v>21</v>
      </c>
    </row>
    <row r="6" spans="1:20" ht="30.75" customHeight="1" thickBot="1" x14ac:dyDescent="0.3">
      <c r="B6" s="186"/>
      <c r="C6" s="13" t="s">
        <v>1</v>
      </c>
      <c r="D6" s="13" t="s">
        <v>2</v>
      </c>
      <c r="E6" s="13" t="s">
        <v>4</v>
      </c>
      <c r="F6" s="188"/>
      <c r="G6" s="25" t="s">
        <v>24</v>
      </c>
      <c r="H6" s="13" t="s">
        <v>29</v>
      </c>
      <c r="I6" s="29"/>
      <c r="J6" s="13" t="s">
        <v>15</v>
      </c>
      <c r="K6" s="13" t="s">
        <v>17</v>
      </c>
      <c r="L6" s="188"/>
      <c r="M6" s="188"/>
      <c r="N6" s="188"/>
      <c r="O6" s="190"/>
      <c r="P6" s="192"/>
      <c r="Q6" s="183"/>
      <c r="R6" s="183"/>
      <c r="S6" s="183"/>
      <c r="T6" s="183"/>
    </row>
    <row r="7" spans="1:20" x14ac:dyDescent="0.25">
      <c r="B7" s="56" t="s">
        <v>70</v>
      </c>
      <c r="C7" s="51"/>
      <c r="D7" s="51"/>
      <c r="E7" s="51"/>
      <c r="F7" s="51"/>
      <c r="G7" s="55"/>
      <c r="H7" s="51"/>
      <c r="I7" s="51"/>
      <c r="J7" s="51"/>
      <c r="K7" s="51"/>
      <c r="L7" s="51"/>
      <c r="M7" s="51"/>
      <c r="N7" s="52"/>
      <c r="O7" s="57"/>
      <c r="P7" s="53"/>
      <c r="Q7" s="50"/>
      <c r="R7" s="54"/>
      <c r="S7" s="54"/>
      <c r="T7" s="54"/>
    </row>
    <row r="8" spans="1:20" ht="30" x14ac:dyDescent="0.25">
      <c r="A8" s="7"/>
      <c r="B8" s="58" t="s">
        <v>36</v>
      </c>
      <c r="C8" s="59"/>
      <c r="D8" s="59"/>
      <c r="E8" s="59"/>
      <c r="F8" s="59"/>
      <c r="G8" s="60"/>
      <c r="H8" s="61"/>
      <c r="I8" s="62"/>
      <c r="J8" s="63"/>
      <c r="K8" s="63"/>
      <c r="L8" s="63"/>
      <c r="M8" s="63"/>
      <c r="N8" s="63"/>
      <c r="O8" s="64"/>
      <c r="P8" s="65"/>
      <c r="Q8" s="63"/>
      <c r="R8" s="63"/>
      <c r="S8" s="65"/>
      <c r="T8" s="65"/>
    </row>
    <row r="9" spans="1:20" ht="30" x14ac:dyDescent="0.25">
      <c r="B9" s="14" t="s">
        <v>35</v>
      </c>
      <c r="C9" s="14" t="s">
        <v>37</v>
      </c>
      <c r="D9" s="17" t="s">
        <v>38</v>
      </c>
      <c r="E9" s="1"/>
      <c r="F9" s="3" t="s">
        <v>18</v>
      </c>
      <c r="G9" s="26">
        <v>1</v>
      </c>
      <c r="H9" s="15"/>
      <c r="I9" s="30">
        <v>1</v>
      </c>
      <c r="J9" s="18">
        <v>4636245.5</v>
      </c>
      <c r="K9" s="18">
        <f>L9*25</f>
        <v>4636245.5</v>
      </c>
      <c r="L9" s="5">
        <v>185449.82</v>
      </c>
      <c r="M9" s="19">
        <v>43909</v>
      </c>
      <c r="N9" s="1" t="s">
        <v>30</v>
      </c>
      <c r="O9" s="21">
        <v>4636245.5</v>
      </c>
      <c r="P9" s="5">
        <v>185449.82</v>
      </c>
      <c r="Q9" s="1"/>
      <c r="R9" s="18">
        <v>4636245.5</v>
      </c>
      <c r="S9" s="4"/>
      <c r="T9" s="4"/>
    </row>
    <row r="10" spans="1:20" ht="30" x14ac:dyDescent="0.25">
      <c r="B10" s="14" t="s">
        <v>36</v>
      </c>
      <c r="C10" s="14" t="s">
        <v>39</v>
      </c>
      <c r="D10" s="14" t="s">
        <v>32</v>
      </c>
      <c r="E10" s="1"/>
      <c r="F10" s="3" t="s">
        <v>18</v>
      </c>
      <c r="G10" s="26">
        <v>1</v>
      </c>
      <c r="H10" s="15"/>
      <c r="I10" s="30">
        <v>1</v>
      </c>
      <c r="J10" s="31">
        <v>947583.5</v>
      </c>
      <c r="K10" s="18">
        <f>L10*25</f>
        <v>947583.49999999988</v>
      </c>
      <c r="L10" s="5">
        <v>37903.339999999997</v>
      </c>
      <c r="M10" s="19">
        <v>43909</v>
      </c>
      <c r="N10" s="1" t="s">
        <v>30</v>
      </c>
      <c r="O10" s="21">
        <v>947583.5</v>
      </c>
      <c r="P10" s="5">
        <v>37903.339999999997</v>
      </c>
      <c r="Q10" s="1"/>
      <c r="R10" s="18">
        <v>947583.5</v>
      </c>
      <c r="S10" s="4"/>
      <c r="T10" s="4"/>
    </row>
    <row r="11" spans="1:20" ht="30" x14ac:dyDescent="0.25">
      <c r="A11" s="7"/>
      <c r="B11" s="58" t="s">
        <v>33</v>
      </c>
      <c r="C11" s="59"/>
      <c r="D11" s="59"/>
      <c r="E11" s="59"/>
      <c r="F11" s="59"/>
      <c r="G11" s="60"/>
      <c r="H11" s="61"/>
      <c r="I11" s="62"/>
      <c r="J11" s="63"/>
      <c r="K11" s="63"/>
      <c r="L11" s="63"/>
      <c r="M11" s="63"/>
      <c r="N11" s="63"/>
      <c r="O11" s="64"/>
      <c r="P11" s="65"/>
      <c r="Q11" s="63"/>
      <c r="R11" s="63"/>
      <c r="S11" s="65"/>
      <c r="T11" s="65"/>
    </row>
    <row r="12" spans="1:20" x14ac:dyDescent="0.25">
      <c r="B12" s="34" t="s">
        <v>31</v>
      </c>
      <c r="C12" s="1" t="s">
        <v>23</v>
      </c>
      <c r="D12" s="1" t="s">
        <v>32</v>
      </c>
      <c r="E12" s="1"/>
      <c r="F12" s="3" t="s">
        <v>18</v>
      </c>
      <c r="G12" s="26">
        <v>1</v>
      </c>
      <c r="H12" s="15"/>
      <c r="I12" s="15">
        <v>1</v>
      </c>
      <c r="J12" s="31">
        <v>4252011.8899999997</v>
      </c>
      <c r="K12" s="31">
        <v>4252011.8899999997</v>
      </c>
      <c r="L12" s="5">
        <f>+K12/25</f>
        <v>170080.47559999998</v>
      </c>
      <c r="M12" s="20">
        <v>43927</v>
      </c>
      <c r="N12" s="15" t="s">
        <v>68</v>
      </c>
      <c r="O12" s="21">
        <f>+K12</f>
        <v>4252011.8899999997</v>
      </c>
      <c r="P12" s="5">
        <f>+O12/25</f>
        <v>170080.47559999998</v>
      </c>
      <c r="Q12" s="1"/>
      <c r="R12" s="18">
        <f>+O12</f>
        <v>4252011.8899999997</v>
      </c>
      <c r="S12" s="4"/>
      <c r="T12" s="4"/>
    </row>
    <row r="13" spans="1:20" x14ac:dyDescent="0.25">
      <c r="B13" s="16" t="s">
        <v>69</v>
      </c>
      <c r="C13" s="16" t="s">
        <v>23</v>
      </c>
      <c r="D13" s="16" t="s">
        <v>32</v>
      </c>
      <c r="E13" s="15"/>
      <c r="F13" s="3" t="s">
        <v>18</v>
      </c>
      <c r="G13" s="9">
        <v>1</v>
      </c>
      <c r="H13" s="15"/>
      <c r="I13" s="15">
        <v>1</v>
      </c>
      <c r="J13" s="31">
        <v>757626.84</v>
      </c>
      <c r="K13" s="32">
        <f>J13</f>
        <v>757626.84</v>
      </c>
      <c r="L13" s="5">
        <f>K13/25</f>
        <v>30305.0736</v>
      </c>
      <c r="M13" s="20">
        <v>43920</v>
      </c>
      <c r="N13" s="15" t="s">
        <v>68</v>
      </c>
      <c r="O13" s="21">
        <f>K13</f>
        <v>757626.84</v>
      </c>
      <c r="P13" s="5">
        <f>L13</f>
        <v>30305.0736</v>
      </c>
      <c r="Q13" s="1"/>
      <c r="R13" s="18">
        <f>P13</f>
        <v>30305.0736</v>
      </c>
      <c r="S13" s="5"/>
      <c r="T13" s="4"/>
    </row>
    <row r="14" spans="1:20" x14ac:dyDescent="0.25">
      <c r="B14" s="56" t="s">
        <v>71</v>
      </c>
      <c r="C14" s="51"/>
      <c r="D14" s="51"/>
      <c r="E14" s="51"/>
      <c r="F14" s="51"/>
      <c r="G14" s="55"/>
      <c r="H14" s="51"/>
      <c r="I14" s="51"/>
      <c r="J14" s="51"/>
      <c r="K14" s="51"/>
      <c r="L14" s="51"/>
      <c r="M14" s="51"/>
      <c r="N14" s="52"/>
      <c r="O14" s="57"/>
      <c r="P14" s="53"/>
      <c r="Q14" s="50"/>
      <c r="R14" s="54"/>
      <c r="S14" s="54"/>
      <c r="T14" s="54"/>
    </row>
    <row r="15" spans="1:20" ht="30" x14ac:dyDescent="0.25">
      <c r="A15" s="7"/>
      <c r="B15" s="58" t="s">
        <v>41</v>
      </c>
      <c r="C15" s="59"/>
      <c r="D15" s="59"/>
      <c r="E15" s="59"/>
      <c r="F15" s="59"/>
      <c r="G15" s="60"/>
      <c r="H15" s="61"/>
      <c r="I15" s="62"/>
      <c r="J15" s="63"/>
      <c r="K15" s="63"/>
      <c r="L15" s="63"/>
      <c r="M15" s="63"/>
      <c r="N15" s="63"/>
      <c r="O15" s="64"/>
      <c r="P15" s="65"/>
      <c r="Q15" s="63"/>
      <c r="R15" s="63"/>
      <c r="S15" s="65"/>
      <c r="T15" s="65"/>
    </row>
    <row r="16" spans="1:20" x14ac:dyDescent="0.25">
      <c r="B16" s="16" t="s">
        <v>42</v>
      </c>
      <c r="C16" s="15"/>
      <c r="D16" s="15"/>
      <c r="E16" s="15"/>
      <c r="F16" s="15" t="s">
        <v>18</v>
      </c>
      <c r="G16" s="9">
        <f>90+90</f>
        <v>180</v>
      </c>
      <c r="H16" s="15"/>
      <c r="I16" s="35">
        <f>90+90</f>
        <v>180</v>
      </c>
      <c r="J16" s="18">
        <f>K16/180</f>
        <v>97500</v>
      </c>
      <c r="K16" s="18">
        <f>L16*25</f>
        <v>17550000</v>
      </c>
      <c r="L16" s="5">
        <f>3900*180</f>
        <v>702000</v>
      </c>
      <c r="M16" s="20">
        <v>43908</v>
      </c>
      <c r="N16" s="1" t="s">
        <v>30</v>
      </c>
      <c r="O16" s="21">
        <f t="shared" ref="O16:P19" si="0">K16</f>
        <v>17550000</v>
      </c>
      <c r="P16" s="5">
        <f t="shared" si="0"/>
        <v>702000</v>
      </c>
      <c r="Q16" s="1"/>
      <c r="R16" s="18">
        <f>O16</f>
        <v>17550000</v>
      </c>
      <c r="S16" s="4"/>
      <c r="T16" s="4"/>
    </row>
    <row r="17" spans="2:20" x14ac:dyDescent="0.25">
      <c r="B17" s="16" t="s">
        <v>45</v>
      </c>
      <c r="C17" s="15"/>
      <c r="D17" s="15"/>
      <c r="E17" s="15"/>
      <c r="F17" s="15" t="s">
        <v>18</v>
      </c>
      <c r="G17" s="9">
        <v>180</v>
      </c>
      <c r="H17" s="15"/>
      <c r="I17" s="35">
        <v>180</v>
      </c>
      <c r="J17" s="18">
        <f>K17/180</f>
        <v>7475</v>
      </c>
      <c r="K17" s="18">
        <f>L17*25</f>
        <v>1345500</v>
      </c>
      <c r="L17" s="5">
        <f>299*180</f>
        <v>53820</v>
      </c>
      <c r="M17" s="20">
        <v>43908</v>
      </c>
      <c r="N17" s="1" t="s">
        <v>30</v>
      </c>
      <c r="O17" s="21">
        <f t="shared" si="0"/>
        <v>1345500</v>
      </c>
      <c r="P17" s="5">
        <f t="shared" si="0"/>
        <v>53820</v>
      </c>
      <c r="Q17" s="1"/>
      <c r="R17" s="18">
        <f>O17</f>
        <v>1345500</v>
      </c>
      <c r="S17" s="4"/>
      <c r="T17" s="4"/>
    </row>
    <row r="18" spans="2:20" x14ac:dyDescent="0.25">
      <c r="B18" s="16" t="s">
        <v>43</v>
      </c>
      <c r="C18" s="15"/>
      <c r="D18" s="15"/>
      <c r="E18" s="15"/>
      <c r="F18" s="15" t="s">
        <v>18</v>
      </c>
      <c r="G18" s="9">
        <v>40</v>
      </c>
      <c r="H18" s="15"/>
      <c r="I18" s="35">
        <v>40</v>
      </c>
      <c r="J18" s="18">
        <f>K18/40</f>
        <v>387500</v>
      </c>
      <c r="K18" s="18">
        <f>L18*25</f>
        <v>15500000</v>
      </c>
      <c r="L18" s="5">
        <f>40*15500</f>
        <v>620000</v>
      </c>
      <c r="M18" s="20">
        <v>43908</v>
      </c>
      <c r="N18" s="1" t="s">
        <v>30</v>
      </c>
      <c r="O18" s="21">
        <f t="shared" si="0"/>
        <v>15500000</v>
      </c>
      <c r="P18" s="5">
        <f t="shared" si="0"/>
        <v>620000</v>
      </c>
      <c r="Q18" s="1"/>
      <c r="R18" s="18">
        <f>O18</f>
        <v>15500000</v>
      </c>
      <c r="S18" s="4"/>
      <c r="T18" s="4"/>
    </row>
    <row r="19" spans="2:20" ht="30" x14ac:dyDescent="0.25">
      <c r="B19" s="16" t="s">
        <v>44</v>
      </c>
      <c r="C19" s="15"/>
      <c r="D19" s="15"/>
      <c r="E19" s="15"/>
      <c r="F19" s="15" t="s">
        <v>18</v>
      </c>
      <c r="G19" s="9">
        <v>90</v>
      </c>
      <c r="H19" s="15"/>
      <c r="I19" s="35">
        <v>90</v>
      </c>
      <c r="J19" s="18">
        <f>K19/90</f>
        <v>251275</v>
      </c>
      <c r="K19" s="18">
        <f>L19*25</f>
        <v>22614750</v>
      </c>
      <c r="L19" s="5">
        <v>904590</v>
      </c>
      <c r="M19" s="20">
        <v>43908</v>
      </c>
      <c r="N19" s="1" t="s">
        <v>30</v>
      </c>
      <c r="O19" s="21">
        <f t="shared" si="0"/>
        <v>22614750</v>
      </c>
      <c r="P19" s="5">
        <f t="shared" si="0"/>
        <v>904590</v>
      </c>
      <c r="Q19" s="1"/>
      <c r="R19" s="18">
        <f>O19</f>
        <v>22614750</v>
      </c>
      <c r="S19" s="4"/>
      <c r="T19" s="4"/>
    </row>
    <row r="20" spans="2:20" x14ac:dyDescent="0.25">
      <c r="B20" s="49"/>
      <c r="C20" s="48"/>
      <c r="D20" s="48"/>
      <c r="E20" s="48"/>
      <c r="F20" s="48"/>
      <c r="G20" s="9"/>
      <c r="H20" s="48"/>
      <c r="I20" s="35"/>
      <c r="J20" s="18"/>
      <c r="K20" s="18"/>
      <c r="L20" s="5"/>
      <c r="M20" s="20"/>
      <c r="N20" s="1"/>
      <c r="O20" s="21"/>
      <c r="P20" s="5"/>
      <c r="Q20" s="1"/>
      <c r="R20" s="18"/>
      <c r="S20" s="4"/>
      <c r="T20" s="4"/>
    </row>
    <row r="21" spans="2:20" x14ac:dyDescent="0.25">
      <c r="B21" s="56" t="s">
        <v>40</v>
      </c>
      <c r="C21" s="51"/>
      <c r="D21" s="51"/>
      <c r="E21" s="51"/>
      <c r="F21" s="51"/>
      <c r="G21" s="55"/>
      <c r="H21" s="51"/>
      <c r="I21" s="51"/>
      <c r="J21" s="51"/>
      <c r="K21" s="51"/>
      <c r="L21" s="51"/>
      <c r="M21" s="51"/>
      <c r="N21" s="52"/>
      <c r="O21" s="57"/>
      <c r="P21" s="53"/>
      <c r="Q21" s="50"/>
      <c r="R21" s="54"/>
      <c r="S21" s="54"/>
      <c r="T21" s="54"/>
    </row>
    <row r="22" spans="2:20" x14ac:dyDescent="0.25">
      <c r="B22" s="22" t="s">
        <v>46</v>
      </c>
      <c r="C22" s="1"/>
      <c r="D22" s="1"/>
      <c r="E22" s="1"/>
      <c r="F22" s="15" t="s">
        <v>18</v>
      </c>
      <c r="G22" s="26">
        <v>105000</v>
      </c>
      <c r="H22" s="3"/>
      <c r="I22" s="30">
        <v>105000</v>
      </c>
      <c r="J22" s="18">
        <v>24</v>
      </c>
      <c r="K22" s="18">
        <f>+I22*J22</f>
        <v>2520000</v>
      </c>
      <c r="L22" s="5">
        <f>+K22/25</f>
        <v>100800</v>
      </c>
      <c r="M22" s="20">
        <v>43951</v>
      </c>
      <c r="N22" s="15" t="s">
        <v>68</v>
      </c>
      <c r="O22" s="21">
        <f>+K22</f>
        <v>2520000</v>
      </c>
      <c r="P22" s="5">
        <f>+O22/25</f>
        <v>100800</v>
      </c>
      <c r="Q22" s="1"/>
      <c r="R22" s="18">
        <f>+K22</f>
        <v>2520000</v>
      </c>
      <c r="S22" s="4"/>
      <c r="T22" s="4"/>
    </row>
    <row r="23" spans="2:20" x14ac:dyDescent="0.25">
      <c r="B23" s="22" t="s">
        <v>57</v>
      </c>
      <c r="C23" s="1"/>
      <c r="D23" s="1"/>
      <c r="E23" s="1"/>
      <c r="F23" s="15" t="s">
        <v>18</v>
      </c>
      <c r="G23" s="26">
        <v>5193</v>
      </c>
      <c r="H23" s="3"/>
      <c r="I23" s="30">
        <v>5193</v>
      </c>
      <c r="J23" s="18">
        <v>340</v>
      </c>
      <c r="K23" s="18">
        <f t="shared" ref="K23:K43" si="1">+I23*J23</f>
        <v>1765620</v>
      </c>
      <c r="L23" s="5">
        <f t="shared" ref="L23:L43" si="2">+K23/25</f>
        <v>70624.800000000003</v>
      </c>
      <c r="M23" s="20">
        <v>43951</v>
      </c>
      <c r="N23" s="15" t="s">
        <v>68</v>
      </c>
      <c r="O23" s="21">
        <f t="shared" ref="O23:O43" si="3">+K23</f>
        <v>1765620</v>
      </c>
      <c r="P23" s="5">
        <f t="shared" ref="P23:P43" si="4">+O23/25</f>
        <v>70624.800000000003</v>
      </c>
      <c r="Q23" s="1"/>
      <c r="R23" s="18">
        <f t="shared" ref="R23:R43" si="5">+K23</f>
        <v>1765620</v>
      </c>
      <c r="S23" s="4"/>
      <c r="T23" s="4"/>
    </row>
    <row r="24" spans="2:20" ht="30" x14ac:dyDescent="0.25">
      <c r="B24" s="16" t="s">
        <v>47</v>
      </c>
      <c r="C24" s="1"/>
      <c r="D24" s="1"/>
      <c r="E24" s="1"/>
      <c r="F24" s="15" t="s">
        <v>18</v>
      </c>
      <c r="G24" s="26">
        <v>105000</v>
      </c>
      <c r="H24" s="3"/>
      <c r="I24" s="30">
        <v>105000</v>
      </c>
      <c r="J24" s="18">
        <v>24</v>
      </c>
      <c r="K24" s="18">
        <f t="shared" si="1"/>
        <v>2520000</v>
      </c>
      <c r="L24" s="5">
        <f t="shared" si="2"/>
        <v>100800</v>
      </c>
      <c r="M24" s="20">
        <v>43951</v>
      </c>
      <c r="N24" s="15" t="s">
        <v>68</v>
      </c>
      <c r="O24" s="21">
        <f t="shared" si="3"/>
        <v>2520000</v>
      </c>
      <c r="P24" s="5">
        <f t="shared" si="4"/>
        <v>100800</v>
      </c>
      <c r="Q24" s="1"/>
      <c r="R24" s="18">
        <f t="shared" si="5"/>
        <v>2520000</v>
      </c>
      <c r="S24" s="4"/>
      <c r="T24" s="4"/>
    </row>
    <row r="25" spans="2:20" ht="30" x14ac:dyDescent="0.25">
      <c r="B25" s="16" t="s">
        <v>58</v>
      </c>
      <c r="C25" s="1"/>
      <c r="D25" s="1"/>
      <c r="E25" s="1"/>
      <c r="F25" s="15" t="s">
        <v>18</v>
      </c>
      <c r="G25" s="26">
        <v>5193</v>
      </c>
      <c r="H25" s="3"/>
      <c r="I25" s="30">
        <v>5193</v>
      </c>
      <c r="J25" s="18">
        <v>340</v>
      </c>
      <c r="K25" s="18">
        <f t="shared" si="1"/>
        <v>1765620</v>
      </c>
      <c r="L25" s="5">
        <f t="shared" si="2"/>
        <v>70624.800000000003</v>
      </c>
      <c r="M25" s="20">
        <v>43951</v>
      </c>
      <c r="N25" s="15" t="s">
        <v>68</v>
      </c>
      <c r="O25" s="21">
        <f t="shared" si="3"/>
        <v>1765620</v>
      </c>
      <c r="P25" s="5">
        <f t="shared" si="4"/>
        <v>70624.800000000003</v>
      </c>
      <c r="Q25" s="1"/>
      <c r="R25" s="18">
        <f t="shared" si="5"/>
        <v>1765620</v>
      </c>
      <c r="S25" s="4"/>
      <c r="T25" s="4"/>
    </row>
    <row r="26" spans="2:20" ht="30" x14ac:dyDescent="0.25">
      <c r="B26" s="16" t="s">
        <v>59</v>
      </c>
      <c r="C26" s="1"/>
      <c r="D26" s="1"/>
      <c r="E26" s="1"/>
      <c r="F26" s="15" t="s">
        <v>18</v>
      </c>
      <c r="G26" s="26">
        <v>12475</v>
      </c>
      <c r="H26" s="3"/>
      <c r="I26" s="30">
        <v>12475</v>
      </c>
      <c r="J26" s="18">
        <v>340</v>
      </c>
      <c r="K26" s="18">
        <f t="shared" si="1"/>
        <v>4241500</v>
      </c>
      <c r="L26" s="5">
        <f t="shared" si="2"/>
        <v>169660</v>
      </c>
      <c r="M26" s="20">
        <v>43951</v>
      </c>
      <c r="N26" s="15" t="s">
        <v>68</v>
      </c>
      <c r="O26" s="21">
        <f t="shared" si="3"/>
        <v>4241500</v>
      </c>
      <c r="P26" s="5">
        <f t="shared" si="4"/>
        <v>169660</v>
      </c>
      <c r="Q26" s="1"/>
      <c r="R26" s="18">
        <f t="shared" si="5"/>
        <v>4241500</v>
      </c>
      <c r="S26" s="4"/>
      <c r="T26" s="4"/>
    </row>
    <row r="27" spans="2:20" ht="30" x14ac:dyDescent="0.25">
      <c r="B27" s="16" t="s">
        <v>48</v>
      </c>
      <c r="C27" s="1"/>
      <c r="D27" s="1"/>
      <c r="E27" s="1"/>
      <c r="F27" s="15" t="s">
        <v>18</v>
      </c>
      <c r="G27" s="26">
        <v>157000</v>
      </c>
      <c r="H27" s="3"/>
      <c r="I27" s="30">
        <v>157000</v>
      </c>
      <c r="J27" s="18">
        <v>24</v>
      </c>
      <c r="K27" s="18">
        <f t="shared" si="1"/>
        <v>3768000</v>
      </c>
      <c r="L27" s="5">
        <f t="shared" si="2"/>
        <v>150720</v>
      </c>
      <c r="M27" s="20">
        <v>43951</v>
      </c>
      <c r="N27" s="15" t="s">
        <v>68</v>
      </c>
      <c r="O27" s="21">
        <f t="shared" si="3"/>
        <v>3768000</v>
      </c>
      <c r="P27" s="5">
        <f t="shared" si="4"/>
        <v>150720</v>
      </c>
      <c r="Q27" s="1"/>
      <c r="R27" s="18">
        <f t="shared" si="5"/>
        <v>3768000</v>
      </c>
      <c r="S27" s="4"/>
      <c r="T27" s="4"/>
    </row>
    <row r="28" spans="2:20" ht="30" x14ac:dyDescent="0.25">
      <c r="B28" s="16" t="s">
        <v>49</v>
      </c>
      <c r="C28" s="1"/>
      <c r="D28" s="1"/>
      <c r="E28" s="1"/>
      <c r="F28" s="15" t="s">
        <v>18</v>
      </c>
      <c r="G28" s="26">
        <v>105000</v>
      </c>
      <c r="H28" s="3"/>
      <c r="I28" s="30">
        <v>105000</v>
      </c>
      <c r="J28" s="18">
        <v>24</v>
      </c>
      <c r="K28" s="18">
        <f t="shared" si="1"/>
        <v>2520000</v>
      </c>
      <c r="L28" s="5">
        <f t="shared" si="2"/>
        <v>100800</v>
      </c>
      <c r="M28" s="20">
        <v>43951</v>
      </c>
      <c r="N28" s="15" t="s">
        <v>68</v>
      </c>
      <c r="O28" s="21">
        <f t="shared" si="3"/>
        <v>2520000</v>
      </c>
      <c r="P28" s="5">
        <f t="shared" si="4"/>
        <v>100800</v>
      </c>
      <c r="Q28" s="1"/>
      <c r="R28" s="18">
        <f t="shared" si="5"/>
        <v>2520000</v>
      </c>
      <c r="S28" s="4"/>
      <c r="T28" s="4"/>
    </row>
    <row r="29" spans="2:20" ht="30" x14ac:dyDescent="0.25">
      <c r="B29" s="16" t="s">
        <v>60</v>
      </c>
      <c r="C29" s="1"/>
      <c r="D29" s="1"/>
      <c r="E29" s="1"/>
      <c r="F29" s="15" t="s">
        <v>18</v>
      </c>
      <c r="G29" s="26">
        <v>5193</v>
      </c>
      <c r="H29" s="3"/>
      <c r="I29" s="30">
        <v>5193</v>
      </c>
      <c r="J29" s="18">
        <v>340</v>
      </c>
      <c r="K29" s="18">
        <f t="shared" si="1"/>
        <v>1765620</v>
      </c>
      <c r="L29" s="5">
        <f t="shared" si="2"/>
        <v>70624.800000000003</v>
      </c>
      <c r="M29" s="20">
        <v>43951</v>
      </c>
      <c r="N29" s="15" t="s">
        <v>68</v>
      </c>
      <c r="O29" s="21">
        <f t="shared" si="3"/>
        <v>1765620</v>
      </c>
      <c r="P29" s="5">
        <f t="shared" si="4"/>
        <v>70624.800000000003</v>
      </c>
      <c r="Q29" s="1"/>
      <c r="R29" s="18">
        <f t="shared" si="5"/>
        <v>1765620</v>
      </c>
      <c r="S29" s="4"/>
      <c r="T29" s="4"/>
    </row>
    <row r="30" spans="2:20" ht="30" x14ac:dyDescent="0.25">
      <c r="B30" s="16" t="s">
        <v>50</v>
      </c>
      <c r="C30" s="1"/>
      <c r="D30" s="1"/>
      <c r="E30" s="1"/>
      <c r="F30" s="15" t="s">
        <v>18</v>
      </c>
      <c r="G30" s="26">
        <v>105000</v>
      </c>
      <c r="H30" s="3"/>
      <c r="I30" s="30">
        <v>105000</v>
      </c>
      <c r="J30" s="18">
        <v>24</v>
      </c>
      <c r="K30" s="18">
        <f t="shared" si="1"/>
        <v>2520000</v>
      </c>
      <c r="L30" s="5">
        <f t="shared" si="2"/>
        <v>100800</v>
      </c>
      <c r="M30" s="20">
        <v>43951</v>
      </c>
      <c r="N30" s="15" t="s">
        <v>68</v>
      </c>
      <c r="O30" s="21">
        <f t="shared" si="3"/>
        <v>2520000</v>
      </c>
      <c r="P30" s="5">
        <f t="shared" si="4"/>
        <v>100800</v>
      </c>
      <c r="Q30" s="1"/>
      <c r="R30" s="18">
        <f t="shared" si="5"/>
        <v>2520000</v>
      </c>
      <c r="S30" s="4"/>
      <c r="T30" s="4"/>
    </row>
    <row r="31" spans="2:20" ht="30" x14ac:dyDescent="0.25">
      <c r="B31" s="16" t="s">
        <v>61</v>
      </c>
      <c r="C31" s="1"/>
      <c r="D31" s="1"/>
      <c r="E31" s="1"/>
      <c r="F31" s="15" t="s">
        <v>18</v>
      </c>
      <c r="G31" s="26">
        <v>5193</v>
      </c>
      <c r="H31" s="3"/>
      <c r="I31" s="30">
        <v>5193</v>
      </c>
      <c r="J31" s="18">
        <v>340</v>
      </c>
      <c r="K31" s="18">
        <f t="shared" si="1"/>
        <v>1765620</v>
      </c>
      <c r="L31" s="5">
        <f t="shared" si="2"/>
        <v>70624.800000000003</v>
      </c>
      <c r="M31" s="20">
        <v>43951</v>
      </c>
      <c r="N31" s="15" t="s">
        <v>68</v>
      </c>
      <c r="O31" s="21">
        <f t="shared" si="3"/>
        <v>1765620</v>
      </c>
      <c r="P31" s="5">
        <f t="shared" si="4"/>
        <v>70624.800000000003</v>
      </c>
      <c r="Q31" s="1"/>
      <c r="R31" s="18">
        <f t="shared" si="5"/>
        <v>1765620</v>
      </c>
      <c r="S31" s="4"/>
      <c r="T31" s="4"/>
    </row>
    <row r="32" spans="2:20" ht="30" x14ac:dyDescent="0.25">
      <c r="B32" s="16" t="s">
        <v>51</v>
      </c>
      <c r="C32" s="1"/>
      <c r="D32" s="1"/>
      <c r="E32" s="1"/>
      <c r="F32" s="15" t="s">
        <v>18</v>
      </c>
      <c r="G32" s="26">
        <v>157000</v>
      </c>
      <c r="H32" s="3"/>
      <c r="I32" s="30">
        <v>157000</v>
      </c>
      <c r="J32" s="18">
        <v>24</v>
      </c>
      <c r="K32" s="18">
        <f t="shared" si="1"/>
        <v>3768000</v>
      </c>
      <c r="L32" s="5">
        <f t="shared" si="2"/>
        <v>150720</v>
      </c>
      <c r="M32" s="20">
        <v>43951</v>
      </c>
      <c r="N32" s="15" t="s">
        <v>68</v>
      </c>
      <c r="O32" s="21">
        <f t="shared" si="3"/>
        <v>3768000</v>
      </c>
      <c r="P32" s="5">
        <f t="shared" si="4"/>
        <v>150720</v>
      </c>
      <c r="Q32" s="1"/>
      <c r="R32" s="18">
        <f t="shared" si="5"/>
        <v>3768000</v>
      </c>
      <c r="S32" s="4"/>
      <c r="T32" s="4"/>
    </row>
    <row r="33" spans="2:20" ht="30" x14ac:dyDescent="0.25">
      <c r="B33" s="16" t="s">
        <v>52</v>
      </c>
      <c r="C33" s="1"/>
      <c r="D33" s="1"/>
      <c r="E33" s="1"/>
      <c r="F33" s="15" t="s">
        <v>18</v>
      </c>
      <c r="G33" s="26">
        <v>105000</v>
      </c>
      <c r="H33" s="3"/>
      <c r="I33" s="30">
        <v>105000</v>
      </c>
      <c r="J33" s="18">
        <v>24</v>
      </c>
      <c r="K33" s="18">
        <f t="shared" si="1"/>
        <v>2520000</v>
      </c>
      <c r="L33" s="5">
        <f t="shared" si="2"/>
        <v>100800</v>
      </c>
      <c r="M33" s="20">
        <v>43951</v>
      </c>
      <c r="N33" s="15" t="s">
        <v>68</v>
      </c>
      <c r="O33" s="21">
        <f t="shared" si="3"/>
        <v>2520000</v>
      </c>
      <c r="P33" s="5">
        <f t="shared" si="4"/>
        <v>100800</v>
      </c>
      <c r="Q33" s="1"/>
      <c r="R33" s="18">
        <f t="shared" si="5"/>
        <v>2520000</v>
      </c>
      <c r="S33" s="4"/>
      <c r="T33" s="4"/>
    </row>
    <row r="34" spans="2:20" ht="30" x14ac:dyDescent="0.25">
      <c r="B34" s="16" t="s">
        <v>62</v>
      </c>
      <c r="C34" s="1"/>
      <c r="D34" s="1"/>
      <c r="E34" s="1"/>
      <c r="F34" s="15" t="s">
        <v>18</v>
      </c>
      <c r="G34" s="26">
        <v>5193</v>
      </c>
      <c r="H34" s="3"/>
      <c r="I34" s="30">
        <v>5193</v>
      </c>
      <c r="J34" s="18">
        <v>340</v>
      </c>
      <c r="K34" s="18">
        <f t="shared" si="1"/>
        <v>1765620</v>
      </c>
      <c r="L34" s="5">
        <f t="shared" si="2"/>
        <v>70624.800000000003</v>
      </c>
      <c r="M34" s="20">
        <v>43951</v>
      </c>
      <c r="N34" s="15" t="s">
        <v>68</v>
      </c>
      <c r="O34" s="21">
        <f t="shared" si="3"/>
        <v>1765620</v>
      </c>
      <c r="P34" s="5">
        <f t="shared" si="4"/>
        <v>70624.800000000003</v>
      </c>
      <c r="Q34" s="1"/>
      <c r="R34" s="18">
        <f t="shared" si="5"/>
        <v>1765620</v>
      </c>
      <c r="S34" s="4"/>
      <c r="T34" s="4"/>
    </row>
    <row r="35" spans="2:20" ht="30" x14ac:dyDescent="0.25">
      <c r="B35" s="16" t="s">
        <v>63</v>
      </c>
      <c r="C35" s="1"/>
      <c r="D35" s="1"/>
      <c r="E35" s="1"/>
      <c r="F35" s="15" t="s">
        <v>18</v>
      </c>
      <c r="G35" s="26">
        <v>12475</v>
      </c>
      <c r="H35" s="3"/>
      <c r="I35" s="30">
        <v>12475</v>
      </c>
      <c r="J35" s="18">
        <v>340</v>
      </c>
      <c r="K35" s="18">
        <f t="shared" si="1"/>
        <v>4241500</v>
      </c>
      <c r="L35" s="5">
        <f t="shared" si="2"/>
        <v>169660</v>
      </c>
      <c r="M35" s="20">
        <v>43951</v>
      </c>
      <c r="N35" s="15" t="s">
        <v>68</v>
      </c>
      <c r="O35" s="21">
        <f t="shared" si="3"/>
        <v>4241500</v>
      </c>
      <c r="P35" s="5">
        <f t="shared" si="4"/>
        <v>169660</v>
      </c>
      <c r="Q35" s="1"/>
      <c r="R35" s="18">
        <f t="shared" si="5"/>
        <v>4241500</v>
      </c>
      <c r="S35" s="4"/>
      <c r="T35" s="4"/>
    </row>
    <row r="36" spans="2:20" ht="30" x14ac:dyDescent="0.25">
      <c r="B36" s="16" t="s">
        <v>53</v>
      </c>
      <c r="C36" s="1"/>
      <c r="D36" s="1"/>
      <c r="E36" s="1"/>
      <c r="F36" s="15" t="s">
        <v>18</v>
      </c>
      <c r="G36" s="26">
        <v>105000</v>
      </c>
      <c r="H36" s="3"/>
      <c r="I36" s="30">
        <v>105000</v>
      </c>
      <c r="J36" s="18">
        <v>24</v>
      </c>
      <c r="K36" s="18">
        <f t="shared" si="1"/>
        <v>2520000</v>
      </c>
      <c r="L36" s="5">
        <f t="shared" si="2"/>
        <v>100800</v>
      </c>
      <c r="M36" s="20">
        <v>43951</v>
      </c>
      <c r="N36" s="15" t="s">
        <v>68</v>
      </c>
      <c r="O36" s="21">
        <f t="shared" si="3"/>
        <v>2520000</v>
      </c>
      <c r="P36" s="5">
        <f t="shared" si="4"/>
        <v>100800</v>
      </c>
      <c r="Q36" s="1"/>
      <c r="R36" s="18">
        <f t="shared" si="5"/>
        <v>2520000</v>
      </c>
      <c r="S36" s="4"/>
      <c r="T36" s="4"/>
    </row>
    <row r="37" spans="2:20" ht="30" x14ac:dyDescent="0.25">
      <c r="B37" s="16" t="s">
        <v>64</v>
      </c>
      <c r="C37" s="1"/>
      <c r="D37" s="1"/>
      <c r="E37" s="1"/>
      <c r="F37" s="15" t="s">
        <v>18</v>
      </c>
      <c r="G37" s="26">
        <v>5193</v>
      </c>
      <c r="H37" s="3"/>
      <c r="I37" s="30">
        <v>5193</v>
      </c>
      <c r="J37" s="18">
        <v>340</v>
      </c>
      <c r="K37" s="18">
        <f t="shared" si="1"/>
        <v>1765620</v>
      </c>
      <c r="L37" s="5">
        <f t="shared" si="2"/>
        <v>70624.800000000003</v>
      </c>
      <c r="M37" s="20">
        <v>43951</v>
      </c>
      <c r="N37" s="15" t="s">
        <v>68</v>
      </c>
      <c r="O37" s="21">
        <f t="shared" si="3"/>
        <v>1765620</v>
      </c>
      <c r="P37" s="5">
        <f t="shared" si="4"/>
        <v>70624.800000000003</v>
      </c>
      <c r="Q37" s="1"/>
      <c r="R37" s="18">
        <f t="shared" si="5"/>
        <v>1765620</v>
      </c>
      <c r="S37" s="4"/>
      <c r="T37" s="4"/>
    </row>
    <row r="38" spans="2:20" ht="45" x14ac:dyDescent="0.25">
      <c r="B38" s="16" t="s">
        <v>65</v>
      </c>
      <c r="C38" s="1"/>
      <c r="D38" s="1"/>
      <c r="E38" s="1"/>
      <c r="F38" s="15" t="s">
        <v>18</v>
      </c>
      <c r="G38" s="26">
        <v>12475</v>
      </c>
      <c r="H38" s="3"/>
      <c r="I38" s="30">
        <v>12475</v>
      </c>
      <c r="J38" s="18">
        <v>340</v>
      </c>
      <c r="K38" s="18">
        <f t="shared" si="1"/>
        <v>4241500</v>
      </c>
      <c r="L38" s="5">
        <f t="shared" si="2"/>
        <v>169660</v>
      </c>
      <c r="M38" s="20">
        <v>43951</v>
      </c>
      <c r="N38" s="15" t="s">
        <v>68</v>
      </c>
      <c r="O38" s="21">
        <f t="shared" si="3"/>
        <v>4241500</v>
      </c>
      <c r="P38" s="5">
        <f t="shared" si="4"/>
        <v>169660</v>
      </c>
      <c r="Q38" s="1"/>
      <c r="R38" s="18">
        <f t="shared" si="5"/>
        <v>4241500</v>
      </c>
      <c r="S38" s="4"/>
      <c r="T38" s="4"/>
    </row>
    <row r="39" spans="2:20" x14ac:dyDescent="0.25">
      <c r="B39" s="16" t="s">
        <v>54</v>
      </c>
      <c r="C39" s="1"/>
      <c r="D39" s="1"/>
      <c r="E39" s="1"/>
      <c r="F39" s="15" t="s">
        <v>18</v>
      </c>
      <c r="G39" s="26">
        <v>12000</v>
      </c>
      <c r="H39" s="3"/>
      <c r="I39" s="30">
        <v>12000</v>
      </c>
      <c r="J39" s="18">
        <v>24</v>
      </c>
      <c r="K39" s="18">
        <f t="shared" si="1"/>
        <v>288000</v>
      </c>
      <c r="L39" s="5">
        <f t="shared" si="2"/>
        <v>11520</v>
      </c>
      <c r="M39" s="20">
        <v>43951</v>
      </c>
      <c r="N39" s="15" t="s">
        <v>68</v>
      </c>
      <c r="O39" s="21">
        <f t="shared" si="3"/>
        <v>288000</v>
      </c>
      <c r="P39" s="5">
        <f t="shared" si="4"/>
        <v>11520</v>
      </c>
      <c r="Q39" s="1"/>
      <c r="R39" s="18">
        <f t="shared" si="5"/>
        <v>288000</v>
      </c>
      <c r="S39" s="4"/>
      <c r="T39" s="4"/>
    </row>
    <row r="40" spans="2:20" ht="30" x14ac:dyDescent="0.25">
      <c r="B40" s="16" t="s">
        <v>55</v>
      </c>
      <c r="C40" s="1"/>
      <c r="D40" s="1"/>
      <c r="E40" s="1"/>
      <c r="F40" s="15" t="s">
        <v>18</v>
      </c>
      <c r="G40" s="26">
        <v>14000</v>
      </c>
      <c r="H40" s="3"/>
      <c r="I40" s="30">
        <v>14000</v>
      </c>
      <c r="J40" s="18">
        <v>24</v>
      </c>
      <c r="K40" s="18">
        <f t="shared" si="1"/>
        <v>336000</v>
      </c>
      <c r="L40" s="5">
        <f t="shared" si="2"/>
        <v>13440</v>
      </c>
      <c r="M40" s="20">
        <v>43951</v>
      </c>
      <c r="N40" s="15" t="s">
        <v>68</v>
      </c>
      <c r="O40" s="21">
        <f t="shared" si="3"/>
        <v>336000</v>
      </c>
      <c r="P40" s="5">
        <f t="shared" si="4"/>
        <v>13440</v>
      </c>
      <c r="Q40" s="1"/>
      <c r="R40" s="18">
        <f t="shared" si="5"/>
        <v>336000</v>
      </c>
      <c r="S40" s="4"/>
      <c r="T40" s="4"/>
    </row>
    <row r="41" spans="2:20" ht="30" x14ac:dyDescent="0.25">
      <c r="B41" s="16" t="s">
        <v>66</v>
      </c>
      <c r="C41" s="1"/>
      <c r="D41" s="1"/>
      <c r="E41" s="1"/>
      <c r="F41" s="15" t="s">
        <v>18</v>
      </c>
      <c r="G41" s="26">
        <v>840</v>
      </c>
      <c r="H41" s="3"/>
      <c r="I41" s="30">
        <v>840</v>
      </c>
      <c r="J41" s="18">
        <v>340</v>
      </c>
      <c r="K41" s="18">
        <f t="shared" si="1"/>
        <v>285600</v>
      </c>
      <c r="L41" s="5">
        <f t="shared" si="2"/>
        <v>11424</v>
      </c>
      <c r="M41" s="20">
        <v>43951</v>
      </c>
      <c r="N41" s="15" t="s">
        <v>68</v>
      </c>
      <c r="O41" s="21">
        <f t="shared" si="3"/>
        <v>285600</v>
      </c>
      <c r="P41" s="5">
        <f t="shared" si="4"/>
        <v>11424</v>
      </c>
      <c r="Q41" s="1"/>
      <c r="R41" s="18">
        <f t="shared" si="5"/>
        <v>285600</v>
      </c>
      <c r="S41" s="4"/>
      <c r="T41" s="4"/>
    </row>
    <row r="42" spans="2:20" ht="30" x14ac:dyDescent="0.25">
      <c r="B42" s="16" t="s">
        <v>56</v>
      </c>
      <c r="C42" s="1"/>
      <c r="D42" s="1"/>
      <c r="E42" s="1"/>
      <c r="F42" s="15" t="s">
        <v>18</v>
      </c>
      <c r="G42" s="26">
        <v>30000</v>
      </c>
      <c r="H42" s="3"/>
      <c r="I42" s="30">
        <v>30000</v>
      </c>
      <c r="J42" s="18">
        <v>24</v>
      </c>
      <c r="K42" s="18">
        <f t="shared" si="1"/>
        <v>720000</v>
      </c>
      <c r="L42" s="5">
        <f t="shared" si="2"/>
        <v>28800</v>
      </c>
      <c r="M42" s="20">
        <v>43951</v>
      </c>
      <c r="N42" s="15" t="s">
        <v>68</v>
      </c>
      <c r="O42" s="21">
        <f t="shared" si="3"/>
        <v>720000</v>
      </c>
      <c r="P42" s="5">
        <f t="shared" si="4"/>
        <v>28800</v>
      </c>
      <c r="Q42" s="1"/>
      <c r="R42" s="18">
        <f t="shared" si="5"/>
        <v>720000</v>
      </c>
      <c r="S42" s="4"/>
      <c r="T42" s="4"/>
    </row>
    <row r="43" spans="2:20" ht="30" x14ac:dyDescent="0.25">
      <c r="B43" s="16" t="s">
        <v>67</v>
      </c>
      <c r="C43" s="1"/>
      <c r="D43" s="1"/>
      <c r="E43" s="1"/>
      <c r="F43" s="15" t="s">
        <v>18</v>
      </c>
      <c r="G43" s="26">
        <v>2005</v>
      </c>
      <c r="H43" s="3"/>
      <c r="I43" s="30">
        <v>2005</v>
      </c>
      <c r="J43" s="18">
        <v>340</v>
      </c>
      <c r="K43" s="18">
        <f t="shared" si="1"/>
        <v>681700</v>
      </c>
      <c r="L43" s="5">
        <f t="shared" si="2"/>
        <v>27268</v>
      </c>
      <c r="M43" s="20">
        <v>43951</v>
      </c>
      <c r="N43" s="15" t="s">
        <v>68</v>
      </c>
      <c r="O43" s="21">
        <f t="shared" si="3"/>
        <v>681700</v>
      </c>
      <c r="P43" s="5">
        <f t="shared" si="4"/>
        <v>27268</v>
      </c>
      <c r="Q43" s="1"/>
      <c r="R43" s="18">
        <f t="shared" si="5"/>
        <v>681700</v>
      </c>
      <c r="S43" s="4"/>
      <c r="T43" s="4"/>
    </row>
    <row r="44" spans="2:20" x14ac:dyDescent="0.25">
      <c r="B44" s="6"/>
      <c r="C44" s="1"/>
      <c r="D44" s="1"/>
      <c r="E44" s="1"/>
      <c r="F44" s="3"/>
      <c r="G44" s="26"/>
      <c r="H44" s="3"/>
      <c r="I44" s="30"/>
      <c r="J44" s="15"/>
      <c r="K44" s="15"/>
      <c r="L44" s="15"/>
      <c r="M44" s="15"/>
      <c r="N44" s="15"/>
      <c r="O44" s="21"/>
      <c r="P44" s="4"/>
      <c r="Q44" s="1"/>
      <c r="R44" s="4"/>
      <c r="S44" s="4"/>
      <c r="T44" s="4"/>
    </row>
    <row r="45" spans="2:20" x14ac:dyDescent="0.25">
      <c r="B45" s="6"/>
      <c r="C45" s="1"/>
      <c r="D45" s="1"/>
      <c r="E45" s="1"/>
      <c r="F45" s="3"/>
      <c r="G45" s="26"/>
      <c r="H45" s="3"/>
      <c r="I45" s="30"/>
      <c r="J45" s="15"/>
      <c r="K45" s="15"/>
      <c r="L45" s="15"/>
      <c r="M45" s="15"/>
      <c r="N45" s="15"/>
      <c r="O45" s="21"/>
      <c r="P45" s="4"/>
      <c r="Q45" s="1"/>
      <c r="R45" s="4"/>
      <c r="S45" s="4"/>
      <c r="T45" s="4"/>
    </row>
    <row r="46" spans="2:20" x14ac:dyDescent="0.25">
      <c r="B46" s="33" t="s">
        <v>34</v>
      </c>
      <c r="C46" s="1"/>
      <c r="D46" s="1"/>
      <c r="E46" s="1"/>
      <c r="F46" s="3"/>
      <c r="G46" s="26"/>
      <c r="H46" s="3"/>
      <c r="I46" s="30"/>
      <c r="J46" s="15"/>
      <c r="K46" s="15"/>
      <c r="L46" s="15"/>
      <c r="M46" s="15"/>
      <c r="N46" s="15"/>
      <c r="O46" s="21"/>
      <c r="P46" s="4"/>
      <c r="Q46" s="1"/>
      <c r="R46" s="4"/>
      <c r="S46" s="4"/>
      <c r="T46" s="4"/>
    </row>
    <row r="47" spans="2:20" x14ac:dyDescent="0.25">
      <c r="B47" s="34"/>
      <c r="C47" s="1"/>
      <c r="D47" s="1"/>
      <c r="E47" s="1"/>
      <c r="F47" s="3"/>
      <c r="G47" s="26"/>
      <c r="H47" s="3"/>
      <c r="I47" s="30"/>
      <c r="J47" s="1"/>
      <c r="K47" s="8"/>
      <c r="L47" s="4"/>
      <c r="M47" s="15"/>
      <c r="N47" s="15"/>
      <c r="O47" s="21"/>
      <c r="P47" s="4"/>
      <c r="Q47" s="1"/>
      <c r="R47" s="4"/>
      <c r="S47" s="4"/>
      <c r="T47" s="4"/>
    </row>
    <row r="48" spans="2:20" ht="14.45" customHeight="1" thickBot="1" x14ac:dyDescent="0.3">
      <c r="B48" s="37"/>
      <c r="C48" s="38"/>
      <c r="D48" s="38"/>
      <c r="E48" s="38"/>
      <c r="F48" s="39"/>
      <c r="G48" s="40"/>
      <c r="H48" s="39"/>
      <c r="I48" s="41"/>
      <c r="J48" s="38"/>
      <c r="K48" s="38"/>
      <c r="L48" s="38"/>
      <c r="M48" s="38"/>
      <c r="N48" s="38"/>
      <c r="O48" s="42"/>
      <c r="P48" s="38"/>
      <c r="Q48" s="38"/>
      <c r="R48" s="43"/>
      <c r="S48" s="43"/>
      <c r="T48" s="43"/>
    </row>
    <row r="49" spans="2:20" ht="29.25" customHeight="1" thickBot="1" x14ac:dyDescent="0.3">
      <c r="B49" s="179" t="s">
        <v>7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1"/>
      <c r="O49" s="44">
        <f>SUM(O9:O48)</f>
        <v>115889237.73</v>
      </c>
      <c r="P49" s="45">
        <f>SUM(P9:P48)</f>
        <v>4635569.5091999983</v>
      </c>
      <c r="Q49" s="46"/>
      <c r="R49" s="44">
        <f>SUM(R9:R48)</f>
        <v>115161915.96360001</v>
      </c>
      <c r="S49" s="46"/>
      <c r="T49" s="47"/>
    </row>
    <row r="50" spans="2:20" x14ac:dyDescent="0.25">
      <c r="B50" s="11"/>
    </row>
  </sheetData>
  <mergeCells count="14">
    <mergeCell ref="B49:N49"/>
    <mergeCell ref="R5:R6"/>
    <mergeCell ref="S5:S6"/>
    <mergeCell ref="T5:T6"/>
    <mergeCell ref="B3:Q3"/>
    <mergeCell ref="B5:B6"/>
    <mergeCell ref="C5:E5"/>
    <mergeCell ref="F5:F6"/>
    <mergeCell ref="L5:L6"/>
    <mergeCell ref="M5:M6"/>
    <mergeCell ref="N5:N6"/>
    <mergeCell ref="O5:O6"/>
    <mergeCell ref="P5:P6"/>
    <mergeCell ref="Q5:Q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Y66"/>
  <sheetViews>
    <sheetView showGridLines="0" tabSelected="1" zoomScaleNormal="100" workbookViewId="0">
      <pane ySplit="2" topLeftCell="A3" activePane="bottomLeft" state="frozen"/>
      <selection activeCell="B25" sqref="B25"/>
      <selection pane="bottomLeft" activeCell="B1" sqref="B1:J1"/>
    </sheetView>
  </sheetViews>
  <sheetFormatPr baseColWidth="10" defaultColWidth="12.140625" defaultRowHeight="15" x14ac:dyDescent="0.25"/>
  <cols>
    <col min="1" max="1" width="6.28515625" style="69" bestFit="1" customWidth="1"/>
    <col min="2" max="2" width="45.28515625" style="70" customWidth="1"/>
    <col min="3" max="3" width="24.42578125" style="66" customWidth="1"/>
    <col min="4" max="4" width="19.28515625" style="66" customWidth="1"/>
    <col min="5" max="5" width="13.140625" style="71" customWidth="1"/>
    <col min="6" max="6" width="17.85546875" style="74" bestFit="1" customWidth="1"/>
    <col min="7" max="7" width="18.140625" style="74" bestFit="1" customWidth="1"/>
    <col min="8" max="8" width="18.140625" style="74" customWidth="1"/>
    <col min="9" max="9" width="19.5703125" style="69" hidden="1" customWidth="1"/>
    <col min="10" max="10" width="16.28515625" style="69" hidden="1" customWidth="1"/>
    <col min="11" max="11" width="16.28515625" hidden="1" customWidth="1"/>
    <col min="12" max="12" width="18" style="69" bestFit="1" customWidth="1"/>
    <col min="13" max="16384" width="12.140625" style="69"/>
  </cols>
  <sheetData>
    <row r="1" spans="1:12" ht="20.45" customHeight="1" thickBot="1" x14ac:dyDescent="0.3">
      <c r="B1" s="194" t="s">
        <v>145</v>
      </c>
      <c r="C1" s="194"/>
      <c r="D1" s="194"/>
      <c r="E1" s="194"/>
      <c r="F1" s="194"/>
      <c r="G1" s="194"/>
      <c r="H1" s="194"/>
      <c r="I1" s="194"/>
      <c r="J1" s="194"/>
      <c r="L1" s="69">
        <v>24.767700000000001</v>
      </c>
    </row>
    <row r="2" spans="1:12" s="66" customFormat="1" ht="48" customHeight="1" thickBot="1" x14ac:dyDescent="0.3">
      <c r="B2" s="132" t="s">
        <v>3</v>
      </c>
      <c r="C2" s="133" t="s">
        <v>77</v>
      </c>
      <c r="D2" s="134" t="s">
        <v>75</v>
      </c>
      <c r="E2" s="135" t="s">
        <v>78</v>
      </c>
      <c r="F2" s="136" t="s">
        <v>88</v>
      </c>
      <c r="G2" s="136" t="s">
        <v>90</v>
      </c>
      <c r="H2" s="137" t="s">
        <v>91</v>
      </c>
      <c r="I2" s="121" t="s">
        <v>86</v>
      </c>
      <c r="J2" s="88" t="s">
        <v>89</v>
      </c>
    </row>
    <row r="3" spans="1:12" s="66" customFormat="1" ht="30.75" customHeight="1" x14ac:dyDescent="0.25">
      <c r="B3" s="76" t="s">
        <v>92</v>
      </c>
      <c r="C3" s="67"/>
      <c r="D3" s="67"/>
      <c r="E3" s="68"/>
      <c r="F3" s="127"/>
      <c r="G3" s="95">
        <f>+SUM(G4:G10)</f>
        <v>31873198.007519998</v>
      </c>
      <c r="H3" s="138">
        <f>+SUM(H4:H10)</f>
        <v>1275529.2422527999</v>
      </c>
      <c r="I3" s="92">
        <f>+I4</f>
        <v>2454900</v>
      </c>
      <c r="J3" s="90">
        <f>+J4</f>
        <v>819718.79</v>
      </c>
      <c r="K3" s="71"/>
    </row>
    <row r="4" spans="1:12" s="72" customFormat="1" ht="20.65" customHeight="1" x14ac:dyDescent="0.25">
      <c r="B4" s="84" t="s">
        <v>93</v>
      </c>
      <c r="C4" s="73" t="s">
        <v>73</v>
      </c>
      <c r="D4" s="75" t="s">
        <v>79</v>
      </c>
      <c r="E4" s="80">
        <v>7000</v>
      </c>
      <c r="F4" s="93">
        <v>876.75</v>
      </c>
      <c r="G4" s="93">
        <v>6137250</v>
      </c>
      <c r="H4" s="139">
        <v>245490</v>
      </c>
      <c r="I4" s="122">
        <f>+G4*0.4</f>
        <v>2454900</v>
      </c>
      <c r="J4" s="85">
        <v>819718.79</v>
      </c>
      <c r="K4" s="94">
        <f>+I4/J4</f>
        <v>2.9948075241754553</v>
      </c>
      <c r="L4" s="78"/>
    </row>
    <row r="5" spans="1:12" s="72" customFormat="1" ht="20.65" customHeight="1" x14ac:dyDescent="0.25">
      <c r="B5" s="84" t="s">
        <v>94</v>
      </c>
      <c r="C5" s="73" t="s">
        <v>73</v>
      </c>
      <c r="D5" s="75" t="s">
        <v>79</v>
      </c>
      <c r="E5" s="80">
        <v>1500800</v>
      </c>
      <c r="F5" s="93">
        <v>9.1338703999999993</v>
      </c>
      <c r="G5" s="93">
        <v>13708112.696319999</v>
      </c>
      <c r="H5" s="139">
        <v>548324.50785279996</v>
      </c>
      <c r="I5" s="101"/>
      <c r="J5" s="102"/>
      <c r="K5" s="94"/>
      <c r="L5" s="78"/>
    </row>
    <row r="6" spans="1:12" s="72" customFormat="1" ht="20.65" customHeight="1" x14ac:dyDescent="0.25">
      <c r="B6" s="84" t="s">
        <v>95</v>
      </c>
      <c r="C6" s="73" t="s">
        <v>73</v>
      </c>
      <c r="D6" s="75" t="s">
        <v>79</v>
      </c>
      <c r="E6" s="80">
        <v>1</v>
      </c>
      <c r="F6" s="93">
        <v>1</v>
      </c>
      <c r="G6" s="93">
        <v>7525356.1100000003</v>
      </c>
      <c r="H6" s="139">
        <v>301014.24440000003</v>
      </c>
      <c r="I6" s="101"/>
      <c r="J6" s="102"/>
      <c r="K6" s="94"/>
      <c r="L6" s="78"/>
    </row>
    <row r="7" spans="1:12" s="72" customFormat="1" ht="20.65" customHeight="1" x14ac:dyDescent="0.25">
      <c r="B7" s="84" t="s">
        <v>113</v>
      </c>
      <c r="C7" s="73" t="s">
        <v>73</v>
      </c>
      <c r="D7" s="75" t="s">
        <v>79</v>
      </c>
      <c r="E7" s="80">
        <v>1</v>
      </c>
      <c r="F7" s="93">
        <v>1088579.8500000001</v>
      </c>
      <c r="G7" s="93">
        <v>1088579.8500000001</v>
      </c>
      <c r="H7" s="139">
        <v>43838.49</v>
      </c>
      <c r="I7" s="101"/>
      <c r="J7" s="102"/>
      <c r="K7" s="94"/>
      <c r="L7" s="78"/>
    </row>
    <row r="8" spans="1:12" s="72" customFormat="1" ht="20.65" customHeight="1" x14ac:dyDescent="0.25">
      <c r="B8" s="84" t="s">
        <v>120</v>
      </c>
      <c r="C8" s="73" t="s">
        <v>73</v>
      </c>
      <c r="D8" s="75" t="s">
        <v>79</v>
      </c>
      <c r="E8" s="80">
        <v>18000</v>
      </c>
      <c r="F8" s="93">
        <v>27.1</v>
      </c>
      <c r="G8" s="93">
        <v>487800</v>
      </c>
      <c r="H8" s="139">
        <v>19512</v>
      </c>
      <c r="I8" s="101"/>
      <c r="J8" s="102"/>
      <c r="K8" s="94"/>
      <c r="L8" s="78"/>
    </row>
    <row r="9" spans="1:12" s="72" customFormat="1" ht="20.65" customHeight="1" x14ac:dyDescent="0.25">
      <c r="B9" s="84" t="s">
        <v>120</v>
      </c>
      <c r="C9" s="73" t="s">
        <v>73</v>
      </c>
      <c r="D9" s="75" t="s">
        <v>79</v>
      </c>
      <c r="E9" s="80">
        <v>150000</v>
      </c>
      <c r="F9" s="93">
        <v>11.2</v>
      </c>
      <c r="G9" s="93">
        <v>1680000</v>
      </c>
      <c r="H9" s="139">
        <v>67200</v>
      </c>
      <c r="I9" s="101"/>
      <c r="J9" s="102"/>
      <c r="K9" s="94"/>
      <c r="L9" s="78"/>
    </row>
    <row r="10" spans="1:12" s="72" customFormat="1" ht="20.65" customHeight="1" x14ac:dyDescent="0.25">
      <c r="B10" s="84" t="s">
        <v>114</v>
      </c>
      <c r="C10" s="73" t="s">
        <v>73</v>
      </c>
      <c r="D10" s="75" t="s">
        <v>79</v>
      </c>
      <c r="E10" s="80">
        <v>1</v>
      </c>
      <c r="F10" s="93">
        <v>1246099.3512000002</v>
      </c>
      <c r="G10" s="93">
        <v>1246099.3512000002</v>
      </c>
      <c r="H10" s="139">
        <v>50150</v>
      </c>
      <c r="I10" s="101"/>
      <c r="J10" s="102"/>
      <c r="K10" s="94"/>
      <c r="L10" s="78"/>
    </row>
    <row r="11" spans="1:12" s="66" customFormat="1" ht="30.75" customHeight="1" x14ac:dyDescent="0.25">
      <c r="B11" s="76" t="s">
        <v>87</v>
      </c>
      <c r="C11" s="67"/>
      <c r="D11" s="67"/>
      <c r="E11" s="68"/>
      <c r="F11" s="127"/>
      <c r="G11" s="95">
        <f>+G12</f>
        <v>50836500</v>
      </c>
      <c r="H11" s="138">
        <f>+H12</f>
        <v>2049296.9749999999</v>
      </c>
      <c r="I11" s="92">
        <f>+I12</f>
        <v>20334600</v>
      </c>
      <c r="J11" s="90">
        <f>+J12</f>
        <v>819718.79</v>
      </c>
      <c r="K11" s="71"/>
    </row>
    <row r="12" spans="1:12" s="72" customFormat="1" ht="20.65" customHeight="1" x14ac:dyDescent="0.25">
      <c r="B12" s="84" t="s">
        <v>85</v>
      </c>
      <c r="C12" s="73" t="s">
        <v>73</v>
      </c>
      <c r="D12" s="75" t="s">
        <v>79</v>
      </c>
      <c r="E12" s="80">
        <v>474000</v>
      </c>
      <c r="F12" s="93">
        <v>107.25</v>
      </c>
      <c r="G12" s="93">
        <f>(F12*E12)</f>
        <v>50836500</v>
      </c>
      <c r="H12" s="139">
        <f>+G12/K12</f>
        <v>2049296.9749999999</v>
      </c>
      <c r="I12" s="122">
        <f>+G12*0.4</f>
        <v>20334600</v>
      </c>
      <c r="J12" s="85">
        <v>819718.79</v>
      </c>
      <c r="K12" s="94">
        <f>+I12/J12</f>
        <v>24.8067999026837</v>
      </c>
      <c r="L12" s="78"/>
    </row>
    <row r="13" spans="1:12" s="72" customFormat="1" ht="20.65" customHeight="1" x14ac:dyDescent="0.25">
      <c r="A13" s="72">
        <v>1</v>
      </c>
      <c r="B13" s="76" t="s">
        <v>112</v>
      </c>
      <c r="C13" s="67"/>
      <c r="D13" s="67"/>
      <c r="E13" s="68"/>
      <c r="F13" s="127"/>
      <c r="G13" s="95">
        <f>SUM(G14:G23)</f>
        <v>157749663.81986874</v>
      </c>
      <c r="H13" s="95">
        <f>SUM(H14:H23)</f>
        <v>6334326.1328000007</v>
      </c>
      <c r="I13" s="122"/>
      <c r="J13" s="85"/>
      <c r="K13" s="94"/>
      <c r="L13" s="78"/>
    </row>
    <row r="14" spans="1:12" s="72" customFormat="1" ht="20.65" customHeight="1" x14ac:dyDescent="0.25">
      <c r="B14" s="146" t="s">
        <v>85</v>
      </c>
      <c r="C14" s="107" t="s">
        <v>73</v>
      </c>
      <c r="D14" s="107" t="s">
        <v>79</v>
      </c>
      <c r="E14" s="147">
        <v>1331280</v>
      </c>
      <c r="F14" s="148">
        <v>8.6902899990000009</v>
      </c>
      <c r="G14" s="149">
        <v>11569209.26986872</v>
      </c>
      <c r="H14" s="150">
        <v>465948</v>
      </c>
      <c r="I14" s="150">
        <v>465948</v>
      </c>
      <c r="J14" s="85"/>
      <c r="K14" s="94"/>
      <c r="L14" s="78"/>
    </row>
    <row r="15" spans="1:12" s="72" customFormat="1" ht="20.65" customHeight="1" x14ac:dyDescent="0.25">
      <c r="B15" s="146" t="s">
        <v>110</v>
      </c>
      <c r="C15" s="107" t="s">
        <v>73</v>
      </c>
      <c r="D15" s="107" t="s">
        <v>79</v>
      </c>
      <c r="E15" s="147"/>
      <c r="F15" s="148"/>
      <c r="G15" s="149">
        <v>27886487.859999999</v>
      </c>
      <c r="H15" s="150">
        <v>1115459.5144</v>
      </c>
      <c r="I15" s="150">
        <v>1115459.5144</v>
      </c>
      <c r="J15" s="85"/>
      <c r="K15" s="94"/>
      <c r="L15" s="78"/>
    </row>
    <row r="16" spans="1:12" s="72" customFormat="1" ht="20.65" customHeight="1" x14ac:dyDescent="0.25">
      <c r="B16" s="146" t="s">
        <v>111</v>
      </c>
      <c r="C16" s="107" t="s">
        <v>73</v>
      </c>
      <c r="D16" s="107" t="s">
        <v>79</v>
      </c>
      <c r="E16" s="147"/>
      <c r="F16" s="148"/>
      <c r="G16" s="149">
        <v>13418456.24</v>
      </c>
      <c r="H16" s="150">
        <v>536738.24959999998</v>
      </c>
      <c r="I16" s="150">
        <v>536738.24959999998</v>
      </c>
      <c r="J16" s="85"/>
      <c r="K16" s="94"/>
      <c r="L16" s="78"/>
    </row>
    <row r="17" spans="1:12" s="72" customFormat="1" ht="20.65" customHeight="1" x14ac:dyDescent="0.25">
      <c r="B17" s="146" t="s">
        <v>115</v>
      </c>
      <c r="C17" s="107" t="s">
        <v>73</v>
      </c>
      <c r="D17" s="107" t="s">
        <v>79</v>
      </c>
      <c r="E17" s="147"/>
      <c r="F17" s="148"/>
      <c r="G17" s="149">
        <v>19229106.82</v>
      </c>
      <c r="H17" s="150">
        <v>774380.5</v>
      </c>
      <c r="I17" s="154"/>
      <c r="J17" s="85"/>
      <c r="K17" s="94"/>
      <c r="L17" s="78"/>
    </row>
    <row r="18" spans="1:12" s="72" customFormat="1" ht="20.65" customHeight="1" x14ac:dyDescent="0.25">
      <c r="B18" s="146" t="s">
        <v>85</v>
      </c>
      <c r="C18" s="107" t="s">
        <v>73</v>
      </c>
      <c r="D18" s="107" t="s">
        <v>79</v>
      </c>
      <c r="E18" s="147">
        <v>5167596</v>
      </c>
      <c r="F18" s="148">
        <v>8.6910599996594193</v>
      </c>
      <c r="G18" s="149">
        <v>44911886.890000015</v>
      </c>
      <c r="H18" s="150">
        <v>1808659</v>
      </c>
      <c r="I18" s="154"/>
      <c r="J18" s="85"/>
      <c r="K18" s="94"/>
      <c r="L18" s="78"/>
    </row>
    <row r="19" spans="1:12" s="72" customFormat="1" ht="20.65" customHeight="1" x14ac:dyDescent="0.25">
      <c r="B19" s="146" t="s">
        <v>124</v>
      </c>
      <c r="C19" s="107" t="s">
        <v>73</v>
      </c>
      <c r="D19" s="107" t="s">
        <v>79</v>
      </c>
      <c r="E19" s="147">
        <v>474000</v>
      </c>
      <c r="F19" s="148">
        <v>107.25</v>
      </c>
      <c r="G19" s="149">
        <v>-20334600</v>
      </c>
      <c r="H19" s="150">
        <v>-813384</v>
      </c>
      <c r="I19" s="154"/>
      <c r="J19" s="85"/>
      <c r="K19" s="94"/>
      <c r="L19" s="78"/>
    </row>
    <row r="20" spans="1:12" s="72" customFormat="1" ht="20.65" customHeight="1" x14ac:dyDescent="0.25">
      <c r="B20" s="146" t="s">
        <v>85</v>
      </c>
      <c r="C20" s="107" t="s">
        <v>73</v>
      </c>
      <c r="D20" s="107" t="s">
        <v>79</v>
      </c>
      <c r="E20" s="147">
        <v>1401988</v>
      </c>
      <c r="F20" s="148">
        <v>8.6922849981597565</v>
      </c>
      <c r="G20" s="149">
        <v>12186479.26</v>
      </c>
      <c r="H20" s="150">
        <v>490695.8</v>
      </c>
      <c r="I20" s="154"/>
      <c r="J20" s="85"/>
      <c r="K20" s="94"/>
      <c r="L20" s="78"/>
    </row>
    <row r="21" spans="1:12" s="72" customFormat="1" ht="20.65" customHeight="1" x14ac:dyDescent="0.25">
      <c r="B21" s="146" t="s">
        <v>127</v>
      </c>
      <c r="C21" s="107" t="s">
        <v>73</v>
      </c>
      <c r="D21" s="107" t="s">
        <v>79</v>
      </c>
      <c r="E21" s="147" t="s">
        <v>118</v>
      </c>
      <c r="F21" s="148" t="s">
        <v>118</v>
      </c>
      <c r="G21" s="149">
        <v>7659429.2199999997</v>
      </c>
      <c r="H21" s="150">
        <v>306377.16879999998</v>
      </c>
      <c r="I21" s="154"/>
      <c r="J21" s="85"/>
      <c r="K21" s="94"/>
      <c r="L21" s="78"/>
    </row>
    <row r="22" spans="1:12" s="72" customFormat="1" ht="20.65" customHeight="1" x14ac:dyDescent="0.25">
      <c r="B22" s="146" t="s">
        <v>137</v>
      </c>
      <c r="C22" s="107" t="s">
        <v>73</v>
      </c>
      <c r="D22" s="107" t="s">
        <v>79</v>
      </c>
      <c r="E22" s="147">
        <v>9190</v>
      </c>
      <c r="F22" s="148">
        <v>198.82570837867246</v>
      </c>
      <c r="G22" s="149">
        <v>1827208.26</v>
      </c>
      <c r="H22" s="150">
        <v>73611.899999999994</v>
      </c>
      <c r="I22" s="154"/>
      <c r="J22" s="85"/>
      <c r="K22" s="94"/>
      <c r="L22" s="78"/>
    </row>
    <row r="23" spans="1:12" s="72" customFormat="1" ht="20.65" customHeight="1" x14ac:dyDescent="0.25">
      <c r="B23" s="146" t="s">
        <v>116</v>
      </c>
      <c r="C23" s="107" t="s">
        <v>73</v>
      </c>
      <c r="D23" s="107" t="s">
        <v>79</v>
      </c>
      <c r="E23" s="147">
        <v>469000</v>
      </c>
      <c r="F23" s="148">
        <v>84</v>
      </c>
      <c r="G23" s="149">
        <v>39396000</v>
      </c>
      <c r="H23" s="150">
        <v>1575840</v>
      </c>
      <c r="I23" s="154"/>
      <c r="J23" s="85"/>
      <c r="K23" s="94"/>
      <c r="L23" s="78"/>
    </row>
    <row r="24" spans="1:12" ht="20.65" customHeight="1" x14ac:dyDescent="0.25">
      <c r="A24" s="69">
        <v>1</v>
      </c>
      <c r="B24" s="76" t="s">
        <v>25</v>
      </c>
      <c r="C24" s="67"/>
      <c r="D24" s="67"/>
      <c r="E24" s="68"/>
      <c r="F24" s="82"/>
      <c r="G24" s="95">
        <f>+SUM(G25:G45)</f>
        <v>675661897.55063999</v>
      </c>
      <c r="H24" s="95">
        <f>+SUM(H25:H45)</f>
        <v>27257445.675825603</v>
      </c>
      <c r="I24" s="123">
        <f>+SUM(I25:I29)</f>
        <v>498482305.42000002</v>
      </c>
      <c r="J24" s="86">
        <f>+SUM(J25:J29)</f>
        <v>20124670.699999999</v>
      </c>
      <c r="K24" s="71"/>
    </row>
    <row r="25" spans="1:12" s="72" customFormat="1" ht="19.350000000000001" customHeight="1" x14ac:dyDescent="0.25">
      <c r="B25" s="87" t="s">
        <v>26</v>
      </c>
      <c r="C25" s="73" t="s">
        <v>73</v>
      </c>
      <c r="D25" s="73" t="s">
        <v>79</v>
      </c>
      <c r="E25" s="81">
        <v>450</v>
      </c>
      <c r="F25" s="83">
        <v>760626.57</v>
      </c>
      <c r="G25" s="93">
        <f>(F25*E25)</f>
        <v>342281956.5</v>
      </c>
      <c r="H25" s="139">
        <f>+G25/K25</f>
        <v>13834525.875</v>
      </c>
      <c r="I25" s="122">
        <f>+G25*0.8</f>
        <v>273825565.19999999</v>
      </c>
      <c r="J25" s="85">
        <v>11067620.699999999</v>
      </c>
      <c r="K25" s="94">
        <f>+I25/J25</f>
        <v>24.741141083738079</v>
      </c>
      <c r="L25" s="78"/>
    </row>
    <row r="26" spans="1:12" s="72" customFormat="1" ht="19.149999999999999" customHeight="1" x14ac:dyDescent="0.25">
      <c r="B26" s="87" t="s">
        <v>83</v>
      </c>
      <c r="C26" s="73" t="s">
        <v>73</v>
      </c>
      <c r="D26" s="73" t="s">
        <v>79</v>
      </c>
      <c r="E26" s="80">
        <v>250000</v>
      </c>
      <c r="F26" s="93">
        <v>185.975424</v>
      </c>
      <c r="G26" s="93">
        <f>F26*E26-0.02</f>
        <v>46493855.979999997</v>
      </c>
      <c r="H26" s="139">
        <f>+G26/K26</f>
        <v>1875032</v>
      </c>
      <c r="I26" s="122">
        <f>+G26</f>
        <v>46493855.979999997</v>
      </c>
      <c r="J26" s="85">
        <v>1875032</v>
      </c>
      <c r="K26" s="94">
        <f>+I26/J26</f>
        <v>24.796299999146679</v>
      </c>
      <c r="L26" s="78"/>
    </row>
    <row r="27" spans="1:12" s="72" customFormat="1" ht="27.6" customHeight="1" x14ac:dyDescent="0.25">
      <c r="B27" s="87" t="s">
        <v>84</v>
      </c>
      <c r="C27" s="73" t="s">
        <v>73</v>
      </c>
      <c r="D27" s="73" t="s">
        <v>79</v>
      </c>
      <c r="E27" s="81">
        <v>1</v>
      </c>
      <c r="F27" s="83">
        <v>1428425.16</v>
      </c>
      <c r="G27" s="93">
        <f>F27*E27</f>
        <v>1428425.16</v>
      </c>
      <c r="H27" s="139">
        <f t="shared" ref="H27:H50" si="0">+G27/K27</f>
        <v>57582</v>
      </c>
      <c r="I27" s="122">
        <f>+G27</f>
        <v>1428425.16</v>
      </c>
      <c r="J27" s="85">
        <v>57582</v>
      </c>
      <c r="K27" s="94">
        <f t="shared" ref="K27:K50" si="1">+I27/J27</f>
        <v>24.80680004167969</v>
      </c>
      <c r="L27" s="78"/>
    </row>
    <row r="28" spans="1:12" s="72" customFormat="1" ht="19.350000000000001" customHeight="1" x14ac:dyDescent="0.25">
      <c r="B28" s="87" t="s">
        <v>26</v>
      </c>
      <c r="C28" s="73" t="s">
        <v>73</v>
      </c>
      <c r="D28" s="73" t="s">
        <v>79</v>
      </c>
      <c r="E28" s="81">
        <v>200</v>
      </c>
      <c r="F28" s="83">
        <v>822345.42</v>
      </c>
      <c r="G28" s="93">
        <f>(F28*E28)</f>
        <v>164469084</v>
      </c>
      <c r="H28" s="139">
        <f t="shared" si="0"/>
        <v>6630000</v>
      </c>
      <c r="I28" s="122">
        <f>+G28*0.75</f>
        <v>123351813</v>
      </c>
      <c r="J28" s="85">
        <v>4972500</v>
      </c>
      <c r="K28" s="94">
        <f t="shared" si="1"/>
        <v>24.806799999999999</v>
      </c>
      <c r="L28" s="78"/>
    </row>
    <row r="29" spans="1:12" s="72" customFormat="1" ht="19.350000000000001" customHeight="1" x14ac:dyDescent="0.25">
      <c r="B29" s="87" t="s">
        <v>26</v>
      </c>
      <c r="C29" s="73" t="s">
        <v>73</v>
      </c>
      <c r="D29" s="73" t="s">
        <v>79</v>
      </c>
      <c r="E29" s="81">
        <v>90</v>
      </c>
      <c r="F29" s="83">
        <v>741425.64</v>
      </c>
      <c r="G29" s="93">
        <f>(F29*E29)</f>
        <v>66728307.600000001</v>
      </c>
      <c r="H29" s="139">
        <f t="shared" si="0"/>
        <v>2689919.9999999995</v>
      </c>
      <c r="I29" s="122">
        <f>+G29*0.8</f>
        <v>53382646.080000006</v>
      </c>
      <c r="J29" s="85">
        <v>2151936</v>
      </c>
      <c r="K29" s="94">
        <f t="shared" si="1"/>
        <v>24.806800053533195</v>
      </c>
      <c r="L29" s="78"/>
    </row>
    <row r="30" spans="1:12" s="72" customFormat="1" ht="19.350000000000001" customHeight="1" x14ac:dyDescent="0.25">
      <c r="B30" s="87" t="s">
        <v>96</v>
      </c>
      <c r="C30" s="73" t="s">
        <v>73</v>
      </c>
      <c r="D30" s="73" t="s">
        <v>79</v>
      </c>
      <c r="E30" s="81">
        <v>1728</v>
      </c>
      <c r="F30" s="83">
        <v>13105.41963</v>
      </c>
      <c r="G30" s="93">
        <v>22646165.120640002</v>
      </c>
      <c r="H30" s="139">
        <v>905846.60482560005</v>
      </c>
      <c r="I30" s="122"/>
      <c r="J30" s="85"/>
      <c r="K30" s="94"/>
      <c r="L30" s="78"/>
    </row>
    <row r="31" spans="1:12" s="72" customFormat="1" ht="19.350000000000001" customHeight="1" x14ac:dyDescent="0.25">
      <c r="B31" s="87" t="s">
        <v>97</v>
      </c>
      <c r="C31" s="73" t="s">
        <v>73</v>
      </c>
      <c r="D31" s="73" t="s">
        <v>79</v>
      </c>
      <c r="E31" s="81">
        <v>350</v>
      </c>
      <c r="F31" s="83">
        <v>52419.839999999997</v>
      </c>
      <c r="G31" s="93">
        <v>18346944</v>
      </c>
      <c r="H31" s="139">
        <v>733877.76000000001</v>
      </c>
      <c r="I31" s="122"/>
      <c r="J31" s="85"/>
      <c r="K31" s="94"/>
      <c r="L31" s="78"/>
    </row>
    <row r="32" spans="1:12" s="72" customFormat="1" ht="19.350000000000001" customHeight="1" x14ac:dyDescent="0.25">
      <c r="B32" s="87" t="s">
        <v>98</v>
      </c>
      <c r="C32" s="73" t="s">
        <v>73</v>
      </c>
      <c r="D32" s="73" t="s">
        <v>79</v>
      </c>
      <c r="E32" s="81">
        <v>1</v>
      </c>
      <c r="F32" s="83">
        <v>1042440</v>
      </c>
      <c r="G32" s="93">
        <v>1042440</v>
      </c>
      <c r="H32" s="139">
        <v>41697.599999999999</v>
      </c>
      <c r="I32" s="122"/>
      <c r="J32" s="85"/>
      <c r="K32" s="94"/>
      <c r="L32" s="78"/>
    </row>
    <row r="33" spans="2:25" s="72" customFormat="1" ht="19.350000000000001" customHeight="1" x14ac:dyDescent="0.25">
      <c r="B33" s="87" t="s">
        <v>99</v>
      </c>
      <c r="C33" s="73" t="s">
        <v>73</v>
      </c>
      <c r="D33" s="73" t="s">
        <v>79</v>
      </c>
      <c r="E33" s="81">
        <v>4</v>
      </c>
      <c r="F33" s="83">
        <v>1340280</v>
      </c>
      <c r="G33" s="93">
        <v>5361120</v>
      </c>
      <c r="H33" s="139">
        <v>214444.79999999999</v>
      </c>
      <c r="I33" s="124"/>
      <c r="J33" s="112"/>
      <c r="K33" s="94"/>
      <c r="L33" s="78"/>
    </row>
    <row r="34" spans="2:25" s="114" customFormat="1" ht="60" x14ac:dyDescent="0.25">
      <c r="B34" s="87" t="s">
        <v>103</v>
      </c>
      <c r="C34" s="107" t="s">
        <v>73</v>
      </c>
      <c r="D34" s="107" t="s">
        <v>79</v>
      </c>
      <c r="E34" s="108">
        <v>1</v>
      </c>
      <c r="F34" s="109">
        <v>14568</v>
      </c>
      <c r="G34" s="109">
        <v>14568</v>
      </c>
      <c r="H34" s="110">
        <v>582.72</v>
      </c>
      <c r="I34" s="115">
        <v>582.72</v>
      </c>
      <c r="J34" s="116"/>
      <c r="K34" s="117"/>
      <c r="L34" s="116"/>
      <c r="M34" s="116"/>
      <c r="N34" s="116"/>
      <c r="O34" s="116"/>
      <c r="P34" s="116"/>
      <c r="Q34" s="116"/>
      <c r="R34" s="116"/>
      <c r="S34" s="116"/>
      <c r="T34" s="116"/>
      <c r="U34" s="118"/>
      <c r="V34" s="118"/>
      <c r="W34" s="119"/>
      <c r="X34" s="119"/>
      <c r="Y34" s="120"/>
    </row>
    <row r="35" spans="2:25" s="114" customFormat="1" ht="60" x14ac:dyDescent="0.25">
      <c r="B35" s="106" t="s">
        <v>104</v>
      </c>
      <c r="C35" s="107" t="s">
        <v>73</v>
      </c>
      <c r="D35" s="107" t="s">
        <v>79</v>
      </c>
      <c r="E35" s="108">
        <v>1</v>
      </c>
      <c r="F35" s="109">
        <v>4284</v>
      </c>
      <c r="G35" s="109">
        <v>4284</v>
      </c>
      <c r="H35" s="110">
        <v>171.36</v>
      </c>
      <c r="I35" s="115">
        <v>171.36</v>
      </c>
      <c r="J35" s="116"/>
      <c r="K35" s="117"/>
      <c r="L35" s="116"/>
      <c r="M35" s="116"/>
      <c r="N35" s="116"/>
      <c r="O35" s="116"/>
      <c r="P35" s="116"/>
      <c r="Q35" s="116"/>
      <c r="R35" s="116"/>
      <c r="S35" s="116"/>
      <c r="T35" s="116"/>
      <c r="U35" s="118"/>
      <c r="V35" s="118"/>
      <c r="W35" s="119"/>
      <c r="X35" s="119"/>
      <c r="Y35" s="120"/>
    </row>
    <row r="36" spans="2:25" s="114" customFormat="1" ht="60" x14ac:dyDescent="0.25">
      <c r="B36" s="106" t="s">
        <v>105</v>
      </c>
      <c r="C36" s="107" t="s">
        <v>73</v>
      </c>
      <c r="D36" s="107" t="s">
        <v>79</v>
      </c>
      <c r="E36" s="108">
        <v>1</v>
      </c>
      <c r="F36" s="109">
        <v>12424.06</v>
      </c>
      <c r="G36" s="109">
        <v>12424.06</v>
      </c>
      <c r="H36" s="110">
        <v>496.9624</v>
      </c>
      <c r="I36" s="115">
        <v>496.9624</v>
      </c>
      <c r="J36" s="116"/>
      <c r="K36" s="117"/>
      <c r="L36" s="116"/>
      <c r="M36" s="116"/>
      <c r="N36" s="116"/>
      <c r="O36" s="116"/>
      <c r="P36" s="116"/>
      <c r="Q36" s="116"/>
      <c r="R36" s="116"/>
      <c r="S36" s="116"/>
      <c r="T36" s="116"/>
      <c r="U36" s="118"/>
      <c r="V36" s="118"/>
      <c r="W36" s="119"/>
      <c r="X36" s="119"/>
      <c r="Y36" s="120"/>
    </row>
    <row r="37" spans="2:25" s="114" customFormat="1" ht="45" x14ac:dyDescent="0.25">
      <c r="B37" s="106" t="s">
        <v>106</v>
      </c>
      <c r="C37" s="107" t="s">
        <v>73</v>
      </c>
      <c r="D37" s="107" t="s">
        <v>79</v>
      </c>
      <c r="E37" s="108">
        <v>1</v>
      </c>
      <c r="F37" s="109">
        <v>8812.0300000000007</v>
      </c>
      <c r="G37" s="109">
        <v>8812.0300000000007</v>
      </c>
      <c r="H37" s="110">
        <v>352.4812</v>
      </c>
      <c r="I37" s="115">
        <v>352.4812</v>
      </c>
      <c r="J37" s="116"/>
      <c r="K37" s="117"/>
      <c r="L37" s="116"/>
      <c r="M37" s="116"/>
      <c r="N37" s="116"/>
      <c r="O37" s="116"/>
      <c r="P37" s="116"/>
      <c r="Q37" s="116"/>
      <c r="R37" s="116"/>
      <c r="S37" s="116"/>
      <c r="T37" s="116"/>
      <c r="U37" s="118"/>
      <c r="V37" s="118"/>
      <c r="W37" s="119"/>
      <c r="X37" s="119"/>
      <c r="Y37" s="120"/>
    </row>
    <row r="38" spans="2:25" s="114" customFormat="1" ht="45" x14ac:dyDescent="0.25">
      <c r="B38" s="106" t="s">
        <v>107</v>
      </c>
      <c r="C38" s="107" t="s">
        <v>73</v>
      </c>
      <c r="D38" s="107" t="s">
        <v>79</v>
      </c>
      <c r="E38" s="108">
        <v>1</v>
      </c>
      <c r="F38" s="109">
        <v>2219844.12</v>
      </c>
      <c r="G38" s="109">
        <v>2219844.12</v>
      </c>
      <c r="H38" s="110">
        <v>88793.764800000004</v>
      </c>
      <c r="I38" s="115">
        <v>88793.764800000004</v>
      </c>
      <c r="J38" s="116"/>
      <c r="K38" s="117"/>
      <c r="L38" s="116"/>
      <c r="M38" s="116"/>
      <c r="N38" s="116"/>
      <c r="O38" s="116"/>
      <c r="P38" s="116"/>
      <c r="Q38" s="116"/>
      <c r="R38" s="116"/>
      <c r="S38" s="116"/>
      <c r="T38" s="116"/>
      <c r="U38" s="118"/>
      <c r="V38" s="118"/>
      <c r="W38" s="119"/>
      <c r="X38" s="119"/>
      <c r="Y38" s="120"/>
    </row>
    <row r="39" spans="2:25" s="114" customFormat="1" ht="60" x14ac:dyDescent="0.25">
      <c r="B39" s="106" t="s">
        <v>108</v>
      </c>
      <c r="C39" s="107" t="s">
        <v>73</v>
      </c>
      <c r="D39" s="107" t="s">
        <v>79</v>
      </c>
      <c r="E39" s="108">
        <v>1</v>
      </c>
      <c r="F39" s="109">
        <v>11008.4</v>
      </c>
      <c r="G39" s="109">
        <v>11008.4</v>
      </c>
      <c r="H39" s="110">
        <v>440.33600000000001</v>
      </c>
      <c r="I39" s="115">
        <v>440.33600000000001</v>
      </c>
      <c r="J39" s="116"/>
      <c r="K39" s="117"/>
      <c r="L39" s="116"/>
      <c r="M39" s="116"/>
      <c r="N39" s="116"/>
      <c r="O39" s="116"/>
      <c r="P39" s="116"/>
      <c r="Q39" s="116"/>
      <c r="R39" s="116"/>
      <c r="S39" s="116"/>
      <c r="T39" s="116"/>
      <c r="U39" s="118"/>
      <c r="V39" s="118"/>
      <c r="W39" s="119"/>
      <c r="X39" s="119"/>
      <c r="Y39" s="120"/>
    </row>
    <row r="40" spans="2:25" s="114" customFormat="1" ht="45" x14ac:dyDescent="0.25">
      <c r="B40" s="106" t="s">
        <v>109</v>
      </c>
      <c r="C40" s="107" t="s">
        <v>73</v>
      </c>
      <c r="D40" s="107" t="s">
        <v>79</v>
      </c>
      <c r="E40" s="108">
        <v>2</v>
      </c>
      <c r="F40" s="109">
        <v>105072.655</v>
      </c>
      <c r="G40" s="109">
        <v>210145.31</v>
      </c>
      <c r="H40" s="110">
        <v>7980</v>
      </c>
      <c r="I40" s="115">
        <v>7980</v>
      </c>
      <c r="J40" s="116"/>
      <c r="K40" s="117"/>
      <c r="L40" s="116"/>
      <c r="M40" s="116"/>
      <c r="N40" s="116"/>
      <c r="O40" s="116"/>
      <c r="P40" s="116"/>
      <c r="Q40" s="116"/>
      <c r="R40" s="116"/>
      <c r="S40" s="116"/>
      <c r="T40" s="116"/>
      <c r="U40" s="118"/>
      <c r="V40" s="118"/>
      <c r="W40" s="119"/>
      <c r="X40" s="119"/>
      <c r="Y40" s="120"/>
    </row>
    <row r="41" spans="2:25" s="114" customFormat="1" ht="75" x14ac:dyDescent="0.25">
      <c r="B41" s="106" t="s">
        <v>129</v>
      </c>
      <c r="C41" s="107" t="s">
        <v>73</v>
      </c>
      <c r="D41" s="107" t="s">
        <v>79</v>
      </c>
      <c r="E41" s="108">
        <v>1</v>
      </c>
      <c r="F41" s="109">
        <v>1</v>
      </c>
      <c r="G41" s="109">
        <v>7812.03</v>
      </c>
      <c r="H41" s="166">
        <v>312.4812</v>
      </c>
      <c r="I41" s="115"/>
      <c r="J41" s="116"/>
      <c r="K41" s="117"/>
      <c r="L41" s="116"/>
      <c r="M41" s="116"/>
      <c r="N41" s="116"/>
      <c r="O41" s="116"/>
      <c r="P41" s="116"/>
      <c r="Q41" s="116"/>
      <c r="R41" s="116"/>
      <c r="S41" s="116"/>
      <c r="T41" s="116"/>
      <c r="U41" s="118"/>
      <c r="V41" s="118"/>
      <c r="W41" s="119"/>
      <c r="X41" s="119"/>
      <c r="Y41" s="120"/>
    </row>
    <row r="42" spans="2:25" s="114" customFormat="1" ht="75" x14ac:dyDescent="0.25">
      <c r="B42" s="106" t="s">
        <v>131</v>
      </c>
      <c r="C42" s="107" t="s">
        <v>73</v>
      </c>
      <c r="D42" s="107" t="s">
        <v>79</v>
      </c>
      <c r="E42" s="108">
        <v>1</v>
      </c>
      <c r="F42" s="109">
        <v>1</v>
      </c>
      <c r="G42" s="109">
        <v>5489.13</v>
      </c>
      <c r="H42" s="166">
        <v>219.5652</v>
      </c>
      <c r="I42" s="115"/>
      <c r="J42" s="116"/>
      <c r="K42" s="117"/>
      <c r="L42" s="116"/>
      <c r="M42" s="116"/>
      <c r="N42" s="116"/>
      <c r="O42" s="116"/>
      <c r="P42" s="116"/>
      <c r="Q42" s="116"/>
      <c r="R42" s="116"/>
      <c r="S42" s="116"/>
      <c r="T42" s="116"/>
      <c r="U42" s="118"/>
      <c r="V42" s="118"/>
      <c r="W42" s="119"/>
      <c r="X42" s="119"/>
      <c r="Y42" s="120"/>
    </row>
    <row r="43" spans="2:25" s="114" customFormat="1" ht="75" x14ac:dyDescent="0.25">
      <c r="B43" s="106" t="s">
        <v>133</v>
      </c>
      <c r="C43" s="107" t="s">
        <v>73</v>
      </c>
      <c r="D43" s="107" t="s">
        <v>79</v>
      </c>
      <c r="E43" s="108">
        <v>1</v>
      </c>
      <c r="F43" s="109">
        <v>1</v>
      </c>
      <c r="G43" s="109">
        <v>5489.13</v>
      </c>
      <c r="H43" s="166">
        <v>219.5652</v>
      </c>
      <c r="I43" s="115"/>
      <c r="J43" s="116"/>
      <c r="K43" s="117"/>
      <c r="L43" s="116"/>
      <c r="M43" s="116"/>
      <c r="N43" s="116"/>
      <c r="O43" s="116"/>
      <c r="P43" s="116"/>
      <c r="Q43" s="116"/>
      <c r="R43" s="116"/>
      <c r="S43" s="116"/>
      <c r="T43" s="116"/>
      <c r="U43" s="118"/>
      <c r="V43" s="118"/>
      <c r="W43" s="119"/>
      <c r="X43" s="119"/>
      <c r="Y43" s="120"/>
    </row>
    <row r="44" spans="2:25" s="114" customFormat="1" ht="30" x14ac:dyDescent="0.25">
      <c r="B44" s="106" t="s">
        <v>135</v>
      </c>
      <c r="C44" s="107" t="s">
        <v>73</v>
      </c>
      <c r="D44" s="107" t="s">
        <v>79</v>
      </c>
      <c r="E44" s="108">
        <v>75</v>
      </c>
      <c r="F44" s="109">
        <v>21366.373066666667</v>
      </c>
      <c r="G44" s="109">
        <v>1602477.98</v>
      </c>
      <c r="H44" s="166">
        <v>64500</v>
      </c>
      <c r="I44" s="115"/>
      <c r="J44" s="116"/>
      <c r="K44" s="117"/>
      <c r="L44" s="116"/>
      <c r="M44" s="116"/>
      <c r="N44" s="116"/>
      <c r="O44" s="116"/>
      <c r="P44" s="116"/>
      <c r="Q44" s="116"/>
      <c r="R44" s="116"/>
      <c r="S44" s="116"/>
      <c r="T44" s="116"/>
      <c r="U44" s="118"/>
      <c r="V44" s="118"/>
      <c r="W44" s="119"/>
      <c r="X44" s="119"/>
      <c r="Y44" s="120"/>
    </row>
    <row r="45" spans="2:25" s="114" customFormat="1" ht="60" x14ac:dyDescent="0.25">
      <c r="B45" s="106" t="s">
        <v>139</v>
      </c>
      <c r="C45" s="107" t="s">
        <v>73</v>
      </c>
      <c r="D45" s="107" t="s">
        <v>79</v>
      </c>
      <c r="E45" s="108">
        <v>1</v>
      </c>
      <c r="F45" s="109">
        <v>1</v>
      </c>
      <c r="G45" s="109">
        <v>2761245</v>
      </c>
      <c r="H45" s="166">
        <v>110449.8</v>
      </c>
      <c r="I45" s="115"/>
      <c r="J45" s="116"/>
      <c r="K45" s="117"/>
      <c r="L45" s="116"/>
      <c r="M45" s="116"/>
      <c r="N45" s="116"/>
      <c r="O45" s="116"/>
      <c r="P45" s="116"/>
      <c r="Q45" s="116"/>
      <c r="R45" s="116"/>
      <c r="S45" s="116"/>
      <c r="T45" s="116"/>
      <c r="U45" s="118"/>
      <c r="V45" s="118"/>
      <c r="W45" s="119"/>
      <c r="X45" s="119"/>
      <c r="Y45" s="120"/>
    </row>
    <row r="46" spans="2:25" s="72" customFormat="1" ht="19.350000000000001" customHeight="1" x14ac:dyDescent="0.25">
      <c r="B46" s="96" t="s">
        <v>72</v>
      </c>
      <c r="C46" s="73"/>
      <c r="D46" s="73"/>
      <c r="E46" s="80"/>
      <c r="F46" s="97"/>
      <c r="G46" s="98">
        <f>+SUM(G47:G50)</f>
        <v>1174517764.24</v>
      </c>
      <c r="H46" s="140">
        <f>+SUM(H47:H50)</f>
        <v>47462563.996431671</v>
      </c>
      <c r="I46" s="125">
        <f>+SUM(I47:I50)</f>
        <v>1174517764.24</v>
      </c>
      <c r="J46" s="113">
        <f>+SUM(J47:J50)</f>
        <v>47462563.996431671</v>
      </c>
      <c r="K46" s="99"/>
    </row>
    <row r="47" spans="2:25" s="72" customFormat="1" ht="19.350000000000001" customHeight="1" x14ac:dyDescent="0.25">
      <c r="B47" s="87" t="s">
        <v>76</v>
      </c>
      <c r="C47" s="73" t="s">
        <v>73</v>
      </c>
      <c r="D47" s="73" t="s">
        <v>79</v>
      </c>
      <c r="E47" s="81">
        <v>2</v>
      </c>
      <c r="F47" s="83">
        <f>196393220.26</f>
        <v>196393220.25999999</v>
      </c>
      <c r="G47" s="100">
        <f>+F47*E47</f>
        <v>392786440.51999998</v>
      </c>
      <c r="H47" s="139">
        <f t="shared" si="0"/>
        <v>15900032.000323841</v>
      </c>
      <c r="I47" s="122">
        <f>+G47</f>
        <v>392786440.51999998</v>
      </c>
      <c r="J47" s="85">
        <f>+G47/24.7035</f>
        <v>15900032.000323841</v>
      </c>
      <c r="K47" s="94">
        <f t="shared" si="1"/>
        <v>24.703499999999998</v>
      </c>
      <c r="L47" s="78"/>
    </row>
    <row r="48" spans="2:25" s="72" customFormat="1" ht="19.350000000000001" customHeight="1" x14ac:dyDescent="0.25">
      <c r="B48" s="87" t="s">
        <v>80</v>
      </c>
      <c r="C48" s="73" t="s">
        <v>73</v>
      </c>
      <c r="D48" s="73" t="s">
        <v>79</v>
      </c>
      <c r="E48" s="81">
        <v>1</v>
      </c>
      <c r="F48" s="83">
        <f>7950000*$L$1</f>
        <v>196903215</v>
      </c>
      <c r="G48" s="100">
        <f>+F48*E48</f>
        <v>196903215</v>
      </c>
      <c r="H48" s="139">
        <f t="shared" si="0"/>
        <v>7950000</v>
      </c>
      <c r="I48" s="122">
        <f>+G48</f>
        <v>196903215</v>
      </c>
      <c r="J48" s="85">
        <f>+G48/$L$1</f>
        <v>7950000</v>
      </c>
      <c r="K48" s="94">
        <f t="shared" si="1"/>
        <v>24.767700000000001</v>
      </c>
      <c r="L48" s="78"/>
    </row>
    <row r="49" spans="2:12" s="72" customFormat="1" ht="19.350000000000001" customHeight="1" x14ac:dyDescent="0.25">
      <c r="B49" s="87" t="s">
        <v>81</v>
      </c>
      <c r="C49" s="73" t="s">
        <v>73</v>
      </c>
      <c r="D49" s="73" t="s">
        <v>79</v>
      </c>
      <c r="E49" s="81">
        <v>4</v>
      </c>
      <c r="F49" s="83">
        <f>5750000*$L$1</f>
        <v>142414275</v>
      </c>
      <c r="G49" s="100">
        <f>+F49*E49</f>
        <v>569657100</v>
      </c>
      <c r="H49" s="139">
        <f t="shared" si="0"/>
        <v>23000000</v>
      </c>
      <c r="I49" s="122">
        <f>+G49</f>
        <v>569657100</v>
      </c>
      <c r="J49" s="85">
        <f>+G49/$L$1</f>
        <v>23000000</v>
      </c>
      <c r="K49" s="94">
        <f t="shared" si="1"/>
        <v>24.767700000000001</v>
      </c>
      <c r="L49" s="78"/>
    </row>
    <row r="50" spans="2:12" s="72" customFormat="1" ht="19.350000000000001" customHeight="1" x14ac:dyDescent="0.25">
      <c r="B50" s="87" t="s">
        <v>82</v>
      </c>
      <c r="C50" s="73" t="s">
        <v>73</v>
      </c>
      <c r="D50" s="73" t="s">
        <v>79</v>
      </c>
      <c r="E50" s="81">
        <v>7</v>
      </c>
      <c r="F50" s="83">
        <v>2167286.96</v>
      </c>
      <c r="G50" s="100">
        <f>+F50*E50</f>
        <v>15171008.719999999</v>
      </c>
      <c r="H50" s="139">
        <f t="shared" si="0"/>
        <v>612531.99610783393</v>
      </c>
      <c r="I50" s="122">
        <f>+G50</f>
        <v>15171008.719999999</v>
      </c>
      <c r="J50" s="85">
        <f>+G50/$L$1</f>
        <v>612531.99610783393</v>
      </c>
      <c r="K50" s="94">
        <f t="shared" si="1"/>
        <v>24.767700000000001</v>
      </c>
      <c r="L50" s="78"/>
    </row>
    <row r="51" spans="2:12" ht="19.350000000000001" hidden="1" customHeight="1" x14ac:dyDescent="0.25">
      <c r="B51" s="141"/>
      <c r="C51" s="111"/>
      <c r="D51" s="111"/>
      <c r="E51" s="128"/>
      <c r="F51" s="129"/>
      <c r="G51" s="130"/>
      <c r="H51" s="142"/>
      <c r="I51" s="89"/>
      <c r="J51" s="79"/>
      <c r="K51" s="69"/>
    </row>
    <row r="52" spans="2:12" ht="19.350000000000001" customHeight="1" x14ac:dyDescent="0.25">
      <c r="B52" s="105" t="s">
        <v>100</v>
      </c>
      <c r="C52" s="131"/>
      <c r="D52" s="131"/>
      <c r="E52" s="131"/>
      <c r="F52" s="131"/>
      <c r="G52" s="153">
        <f>+SUM(G53:G55)</f>
        <v>2173280.5296080001</v>
      </c>
      <c r="H52" s="153">
        <f>+SUM(H53:H55)</f>
        <v>86931.221184319991</v>
      </c>
      <c r="I52" s="103"/>
      <c r="J52" s="104"/>
      <c r="K52" s="69"/>
    </row>
    <row r="53" spans="2:12" ht="43.15" customHeight="1" x14ac:dyDescent="0.25">
      <c r="B53" s="87" t="s">
        <v>101</v>
      </c>
      <c r="C53" s="73" t="s">
        <v>73</v>
      </c>
      <c r="D53" s="73" t="s">
        <v>79</v>
      </c>
      <c r="E53" s="73">
        <v>12</v>
      </c>
      <c r="F53" s="152">
        <v>10964.040800000001</v>
      </c>
      <c r="G53" s="152">
        <v>131568.4896</v>
      </c>
      <c r="H53" s="151">
        <v>5262.7395839999999</v>
      </c>
      <c r="I53" s="103"/>
      <c r="J53" s="104"/>
      <c r="K53" s="69"/>
    </row>
    <row r="54" spans="2:12" ht="54.6" customHeight="1" x14ac:dyDescent="0.25">
      <c r="B54" s="87" t="s">
        <v>102</v>
      </c>
      <c r="C54" s="73" t="s">
        <v>73</v>
      </c>
      <c r="D54" s="73" t="s">
        <v>79</v>
      </c>
      <c r="E54" s="73">
        <v>56</v>
      </c>
      <c r="F54" s="152">
        <v>1807.132143</v>
      </c>
      <c r="G54" s="152">
        <v>101199.400008</v>
      </c>
      <c r="H54" s="151">
        <v>4047.9760003199999</v>
      </c>
      <c r="I54" s="103"/>
      <c r="J54" s="104"/>
      <c r="K54" s="69"/>
    </row>
    <row r="55" spans="2:12" ht="54.6" customHeight="1" thickBot="1" x14ac:dyDescent="0.3">
      <c r="B55" s="87" t="s">
        <v>142</v>
      </c>
      <c r="C55" s="73" t="s">
        <v>73</v>
      </c>
      <c r="D55" s="73" t="s">
        <v>79</v>
      </c>
      <c r="E55" s="156">
        <v>1</v>
      </c>
      <c r="F55" s="157">
        <v>1</v>
      </c>
      <c r="G55" s="157">
        <v>1940512.64</v>
      </c>
      <c r="H55" s="158">
        <v>77620.505599999989</v>
      </c>
      <c r="I55" s="103"/>
      <c r="J55" s="104"/>
      <c r="K55" s="69"/>
    </row>
    <row r="56" spans="2:12" ht="25.5" customHeight="1" thickBot="1" x14ac:dyDescent="0.3">
      <c r="B56" s="143" t="s">
        <v>74</v>
      </c>
      <c r="C56" s="144"/>
      <c r="D56" s="193"/>
      <c r="E56" s="193"/>
      <c r="F56" s="193"/>
      <c r="G56" s="145">
        <f>+G11+G24+G46+G3+G52+G13</f>
        <v>2092812304.1476367</v>
      </c>
      <c r="H56" s="145">
        <f>+H11+H24+H46+H3+H52+H13</f>
        <v>84466093.243494377</v>
      </c>
      <c r="I56" s="126">
        <f>+I11+I24+I46</f>
        <v>1693334669.6600001</v>
      </c>
      <c r="J56" s="91">
        <f>+J11+J24+J46</f>
        <v>68406953.486431673</v>
      </c>
      <c r="K56" s="69"/>
      <c r="L56" s="77"/>
    </row>
    <row r="57" spans="2:12" x14ac:dyDescent="0.25">
      <c r="B57" s="155" t="s">
        <v>117</v>
      </c>
      <c r="K57" s="69"/>
    </row>
    <row r="58" spans="2:12" x14ac:dyDescent="0.25">
      <c r="K58" s="69"/>
    </row>
    <row r="59" spans="2:12" x14ac:dyDescent="0.25">
      <c r="K59" s="69"/>
    </row>
    <row r="60" spans="2:12" x14ac:dyDescent="0.25">
      <c r="K60" s="69"/>
    </row>
    <row r="61" spans="2:12" x14ac:dyDescent="0.25">
      <c r="K61" s="69"/>
    </row>
    <row r="62" spans="2:12" x14ac:dyDescent="0.25">
      <c r="K62" s="69"/>
    </row>
    <row r="63" spans="2:12" x14ac:dyDescent="0.25">
      <c r="K63" s="69"/>
    </row>
    <row r="64" spans="2:12" x14ac:dyDescent="0.25">
      <c r="K64" s="69"/>
    </row>
    <row r="65" spans="11:11" x14ac:dyDescent="0.25">
      <c r="K65" s="69"/>
    </row>
    <row r="66" spans="11:11" x14ac:dyDescent="0.25">
      <c r="K66" s="69"/>
    </row>
  </sheetData>
  <mergeCells count="2">
    <mergeCell ref="D56:F56"/>
    <mergeCell ref="B1:J1"/>
  </mergeCells>
  <pageMargins left="0.7" right="0.7" top="0.75" bottom="0.75" header="0.3" footer="0.3"/>
  <pageSetup paperSize="9" orientation="portrait" r:id="rId1"/>
  <ignoredErrors>
    <ignoredError sqref="J46 H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3"/>
  <sheetViews>
    <sheetView topLeftCell="C1" workbookViewId="0">
      <selection activeCell="P10" sqref="P10:S12"/>
    </sheetView>
  </sheetViews>
  <sheetFormatPr baseColWidth="10" defaultRowHeight="15" x14ac:dyDescent="0.25"/>
  <cols>
    <col min="18" max="18" width="16.140625" customWidth="1"/>
  </cols>
  <sheetData>
    <row r="1" spans="1:24" x14ac:dyDescent="0.25">
      <c r="A1" s="161" t="s">
        <v>119</v>
      </c>
      <c r="B1" s="161" t="s">
        <v>112</v>
      </c>
      <c r="C1" s="161" t="s">
        <v>124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0">
        <v>0</v>
      </c>
      <c r="L1" s="160">
        <v>0</v>
      </c>
      <c r="M1" s="160">
        <v>0</v>
      </c>
      <c r="N1" s="160">
        <v>0</v>
      </c>
      <c r="O1" s="161" t="s">
        <v>73</v>
      </c>
      <c r="P1">
        <v>474000</v>
      </c>
      <c r="Q1">
        <v>107.25</v>
      </c>
      <c r="R1" s="162">
        <v>-20334600</v>
      </c>
      <c r="S1" s="162">
        <v>-813384</v>
      </c>
      <c r="T1">
        <v>1</v>
      </c>
      <c r="U1">
        <v>3</v>
      </c>
      <c r="V1" s="159" t="s">
        <v>121</v>
      </c>
      <c r="W1" s="161" t="str">
        <f t="shared" ref="W1:W12" si="0">+CONCATENATE($X$13,X1)</f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(BIENES,CONVENIOS CON HOSPITALES,Insumos Biomédicos (mascarillas) (DEVOLUCION DE ANTICIPO),0,0,0,0,0,0,0,0,0,0,0,INVEST-H,474000,107.25,-20334600,-813384,1,3,Fondos nacionales );</v>
      </c>
      <c r="X1" s="161" t="s">
        <v>125</v>
      </c>
    </row>
    <row r="2" spans="1:24" x14ac:dyDescent="0.25">
      <c r="A2" s="161" t="s">
        <v>119</v>
      </c>
      <c r="B2" s="161" t="s">
        <v>112</v>
      </c>
      <c r="C2" s="161" t="s">
        <v>85</v>
      </c>
      <c r="E2" s="160">
        <v>0</v>
      </c>
      <c r="F2" s="160">
        <v>0</v>
      </c>
      <c r="G2" s="160">
        <v>0</v>
      </c>
      <c r="H2" s="160">
        <v>0</v>
      </c>
      <c r="I2" s="160">
        <v>0</v>
      </c>
      <c r="J2" s="160">
        <v>0</v>
      </c>
      <c r="K2" s="160">
        <v>0</v>
      </c>
      <c r="L2" s="160">
        <v>0</v>
      </c>
      <c r="M2" s="160">
        <v>0</v>
      </c>
      <c r="N2" s="160">
        <v>0</v>
      </c>
      <c r="O2" s="161" t="s">
        <v>73</v>
      </c>
      <c r="P2">
        <v>1401988</v>
      </c>
      <c r="Q2">
        <v>8.6922849981597565</v>
      </c>
      <c r="R2" s="162">
        <v>12186479.26</v>
      </c>
      <c r="S2" s="162">
        <v>490695.8</v>
      </c>
      <c r="T2">
        <v>1</v>
      </c>
      <c r="U2">
        <v>3</v>
      </c>
      <c r="V2" s="159" t="s">
        <v>121</v>
      </c>
      <c r="W2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(BIENES,CONVENIOS CON HOSPITALES,Insumos Biomédicos (mascarillas),0,0,0,0,0,0,0,0,0,0,0,INVEST-H,1401988,8.69228499815976,12186479.26,490695.8,1,3,Fondos nacionales );</v>
      </c>
      <c r="X2" s="161" t="s">
        <v>126</v>
      </c>
    </row>
    <row r="3" spans="1:24" x14ac:dyDescent="0.25">
      <c r="A3" s="161" t="s">
        <v>119</v>
      </c>
      <c r="B3" s="161" t="s">
        <v>112</v>
      </c>
      <c r="C3" s="161" t="s">
        <v>127</v>
      </c>
      <c r="E3" s="160">
        <v>0</v>
      </c>
      <c r="F3" s="160">
        <v>0</v>
      </c>
      <c r="G3" s="160">
        <v>0</v>
      </c>
      <c r="H3" s="160">
        <v>0</v>
      </c>
      <c r="I3" s="160">
        <v>0</v>
      </c>
      <c r="J3" s="160">
        <v>0</v>
      </c>
      <c r="K3" s="160">
        <v>0</v>
      </c>
      <c r="L3" s="160">
        <v>0</v>
      </c>
      <c r="M3" s="160">
        <v>0</v>
      </c>
      <c r="N3" s="160">
        <v>0</v>
      </c>
      <c r="O3" s="161" t="s">
        <v>73</v>
      </c>
      <c r="P3" t="s">
        <v>118</v>
      </c>
      <c r="Q3" t="s">
        <v>118</v>
      </c>
      <c r="R3" s="162">
        <v>7659429.2199999997</v>
      </c>
      <c r="S3" s="162">
        <v>306377.16879999998</v>
      </c>
      <c r="T3">
        <v>1</v>
      </c>
      <c r="U3">
        <v>3</v>
      </c>
      <c r="V3" s="159" t="s">
        <v>121</v>
      </c>
      <c r="W3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(BIENES,CONVENIOS CON HOSPITALES,Insumos Biomédicos (mascarillas y protector facial),0,0,0,0,0,0,0,0,0,0,0,INVEST-H,Ver detalle en IAIP,Ver detalle en IAIP,7659429.22,306377.1688,1,3,Fondos nacionales );</v>
      </c>
      <c r="X3" s="161" t="s">
        <v>128</v>
      </c>
    </row>
    <row r="4" spans="1:24" x14ac:dyDescent="0.25">
      <c r="A4" s="161" t="s">
        <v>119</v>
      </c>
      <c r="B4" s="161" t="s">
        <v>112</v>
      </c>
      <c r="C4" s="161" t="s">
        <v>137</v>
      </c>
      <c r="E4" s="160">
        <v>0</v>
      </c>
      <c r="F4" s="160">
        <v>0</v>
      </c>
      <c r="G4" s="160">
        <v>0</v>
      </c>
      <c r="H4" s="160">
        <v>0</v>
      </c>
      <c r="I4" s="160">
        <v>0</v>
      </c>
      <c r="J4" s="160">
        <v>0</v>
      </c>
      <c r="K4" s="160">
        <v>0</v>
      </c>
      <c r="L4" s="160">
        <v>0</v>
      </c>
      <c r="M4" s="160">
        <v>0</v>
      </c>
      <c r="N4" s="160">
        <v>0</v>
      </c>
      <c r="O4" s="161" t="s">
        <v>73</v>
      </c>
      <c r="P4" s="168">
        <v>9190</v>
      </c>
      <c r="Q4" s="171">
        <v>198.82570837867246</v>
      </c>
      <c r="R4" s="170">
        <v>1827208.26</v>
      </c>
      <c r="S4" s="177">
        <v>73611.899999999994</v>
      </c>
      <c r="T4">
        <v>1</v>
      </c>
      <c r="U4">
        <v>3</v>
      </c>
      <c r="V4" s="159" t="s">
        <v>121</v>
      </c>
      <c r="W4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(BIENES,CONVENIOS CON HOSPITALES,Insumos Biomédicos (anteojos descartables),0,0,0,0,0,0,0,0,0,0,0,INVEST-H,9190,198.8257,1827208.26,73611.9,1,3,Fondos nacionales );</v>
      </c>
      <c r="X4" s="161" t="s">
        <v>138</v>
      </c>
    </row>
    <row r="5" spans="1:24" x14ac:dyDescent="0.25">
      <c r="A5" s="161" t="s">
        <v>119</v>
      </c>
      <c r="B5" s="161" t="s">
        <v>25</v>
      </c>
      <c r="C5" s="161" t="s">
        <v>129</v>
      </c>
      <c r="E5" s="160">
        <v>0</v>
      </c>
      <c r="F5" s="160">
        <v>0</v>
      </c>
      <c r="G5" s="160">
        <v>0</v>
      </c>
      <c r="H5" s="160">
        <v>0</v>
      </c>
      <c r="I5" s="160">
        <v>0</v>
      </c>
      <c r="J5" s="160">
        <v>0</v>
      </c>
      <c r="K5" s="160">
        <v>0</v>
      </c>
      <c r="L5" s="160">
        <v>0</v>
      </c>
      <c r="M5" s="160">
        <v>0</v>
      </c>
      <c r="N5" s="160">
        <v>0</v>
      </c>
      <c r="O5" s="161" t="s">
        <v>73</v>
      </c>
      <c r="P5">
        <v>1</v>
      </c>
      <c r="Q5">
        <v>1</v>
      </c>
      <c r="R5" s="162">
        <v>7812.03</v>
      </c>
      <c r="S5" s="162">
        <v>312.4812</v>
      </c>
      <c r="T5">
        <v>1</v>
      </c>
      <c r="U5">
        <v>3</v>
      </c>
      <c r="V5" s="159" t="s">
        <v>121</v>
      </c>
      <c r="W5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(BIENES,EQUIPO MEDICO,SERVICIO DE DESADUANAJE DE UNA GUIA AEREA DHL #2301310535, CORRESPONDIENTE A ENTREGA DE HigherPurity TM Viral RNA Extracción, Kit de extracción para 500 muestras compradas al Proveedor CAPRIS MEDICA, COSTA RICA.,0,0,0,0,0,0,0,0,0,0,0,INVEST-H,1,1,7812.03,312.4812,1,3,Fondos nacionales );</v>
      </c>
      <c r="X5" s="161" t="s">
        <v>130</v>
      </c>
    </row>
    <row r="6" spans="1:24" x14ac:dyDescent="0.25">
      <c r="A6" s="161" t="s">
        <v>119</v>
      </c>
      <c r="B6" s="161" t="s">
        <v>25</v>
      </c>
      <c r="C6" s="161" t="s">
        <v>131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  <c r="N6" s="160">
        <v>0</v>
      </c>
      <c r="O6" s="161" t="s">
        <v>73</v>
      </c>
      <c r="P6">
        <v>1</v>
      </c>
      <c r="Q6">
        <v>1</v>
      </c>
      <c r="R6" s="162">
        <v>5489.13</v>
      </c>
      <c r="S6" s="162">
        <v>219.5652</v>
      </c>
      <c r="T6">
        <v>1</v>
      </c>
      <c r="U6">
        <v>3</v>
      </c>
      <c r="V6" s="159" t="s">
        <v>121</v>
      </c>
      <c r="W6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(BIENES,EQUIPO MEDICO,SERVICIO DE DESADUANAJE DE UNA GUIA AEREA DHL #3616835423, CORRESPONDIENTE A LA ENTREGA DE 10,000 MASCARILLAS DE 3 CAPAS, COMO PARTE DE LOS INSUMOS DE LOS HOSPITALES MOVILES.,0,0,0,0,0,0,0,0,0,0,0,INVEST-H,1,1,5489.13,219.5652,1,3,Fondos nacionales );</v>
      </c>
      <c r="X6" s="161" t="s">
        <v>132</v>
      </c>
    </row>
    <row r="7" spans="1:24" x14ac:dyDescent="0.25">
      <c r="A7" s="161" t="s">
        <v>119</v>
      </c>
      <c r="B7" s="161" t="s">
        <v>25</v>
      </c>
      <c r="C7" s="161" t="s">
        <v>133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1" t="s">
        <v>73</v>
      </c>
      <c r="P7">
        <v>1</v>
      </c>
      <c r="Q7">
        <v>1</v>
      </c>
      <c r="R7" s="162">
        <v>5489.13</v>
      </c>
      <c r="S7" s="162">
        <v>219.5652</v>
      </c>
      <c r="T7">
        <v>1</v>
      </c>
      <c r="U7">
        <v>3</v>
      </c>
      <c r="V7" s="159" t="s">
        <v>121</v>
      </c>
      <c r="W7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(BIENES,EQUIPO MEDICO,SERVICIO DE DESADUANAJE DE UNA GUIA AEREA DHL #3616834045, CORRESPONDIENTE A LA ENTREGA DE 10,000 MASCARILLAS DE 3 CAPAS, COMO PARTE DE LOS INSUMOS DE LOS HOSPITALES MOVILES.,0,0,0,0,0,0,0,0,0,0,0,INVEST-H,1,1,5489.13,219.5652,1,3,Fondos nacionales );</v>
      </c>
      <c r="X7" s="161" t="s">
        <v>134</v>
      </c>
    </row>
    <row r="8" spans="1:24" x14ac:dyDescent="0.25">
      <c r="A8" s="161" t="s">
        <v>119</v>
      </c>
      <c r="B8" s="161" t="s">
        <v>25</v>
      </c>
      <c r="C8" s="161" t="s">
        <v>135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1" t="s">
        <v>73</v>
      </c>
      <c r="P8">
        <v>75</v>
      </c>
      <c r="Q8">
        <v>21366.373066666667</v>
      </c>
      <c r="R8" s="162">
        <v>1602477.98</v>
      </c>
      <c r="S8" s="162">
        <v>64500</v>
      </c>
      <c r="T8">
        <v>1</v>
      </c>
      <c r="U8">
        <v>3</v>
      </c>
      <c r="V8" s="159" t="s">
        <v>121</v>
      </c>
      <c r="W8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(BIENES,EQUIPO MEDICO,Kit de Extracción ARN Zymo Quick-RNA Viral Kit (200 reacciones),0,0,0,0,0,0,0,0,0,0,0,INVEST-H,75,21366.3730666667,1602477.98,64500,1,3,Fondos nacionales );</v>
      </c>
      <c r="X8" s="161" t="s">
        <v>136</v>
      </c>
    </row>
    <row r="9" spans="1:24" x14ac:dyDescent="0.25">
      <c r="A9" s="161" t="s">
        <v>119</v>
      </c>
      <c r="B9" s="161" t="s">
        <v>25</v>
      </c>
      <c r="C9" s="161" t="s">
        <v>139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1" t="s">
        <v>73</v>
      </c>
      <c r="P9" s="167">
        <v>1</v>
      </c>
      <c r="Q9" s="170">
        <v>1</v>
      </c>
      <c r="R9" s="170">
        <v>2761245</v>
      </c>
      <c r="S9" s="175">
        <v>110449.8</v>
      </c>
      <c r="T9">
        <v>1</v>
      </c>
      <c r="U9">
        <v>3</v>
      </c>
      <c r="V9" s="159" t="s">
        <v>121</v>
      </c>
      <c r="W9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(BIENES,EQUIPO MEDICO,PAGO DEL 60% DE ANTICIPO POR EL EQUIPAMIENTO DE 129 VENTILADORES MECANICOS PULMONARES COMPRADOS POR COPECO.,0,0,0,0,0,0,0,0,0,0,0,INVEST-H,1,1,2761245,110449.8,1,3,Fondos nacionales );</v>
      </c>
      <c r="X9" s="161" t="s">
        <v>140</v>
      </c>
    </row>
    <row r="10" spans="1:24" x14ac:dyDescent="0.25">
      <c r="A10" s="159" t="s">
        <v>119</v>
      </c>
      <c r="B10" s="159" t="s">
        <v>92</v>
      </c>
      <c r="C10" s="159" t="s">
        <v>120</v>
      </c>
      <c r="D10" s="160"/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59" t="s">
        <v>73</v>
      </c>
      <c r="P10" s="169">
        <v>18000</v>
      </c>
      <c r="Q10" s="172">
        <v>27.1</v>
      </c>
      <c r="R10" s="174">
        <v>487800</v>
      </c>
      <c r="S10" s="178">
        <v>19512</v>
      </c>
      <c r="T10" s="160">
        <v>1</v>
      </c>
      <c r="U10" s="160">
        <v>3</v>
      </c>
      <c r="V10" s="159" t="s">
        <v>121</v>
      </c>
      <c r="W10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(BIENES,MEDICAMENTOS,TABLETAS DE INVERMECTINA 6MG,0,0,0,0,0,0,0,0,0,0,0,INVEST-H,18000,27.1,487800,19512,1,3,Fondos nacionales );</v>
      </c>
      <c r="X10" s="161" t="s">
        <v>122</v>
      </c>
    </row>
    <row r="11" spans="1:24" x14ac:dyDescent="0.25">
      <c r="A11" s="161" t="s">
        <v>119</v>
      </c>
      <c r="B11" s="161" t="s">
        <v>92</v>
      </c>
      <c r="C11" s="161" t="s">
        <v>120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1" t="s">
        <v>73</v>
      </c>
      <c r="P11" s="1">
        <v>150000</v>
      </c>
      <c r="Q11" s="1">
        <v>11.2</v>
      </c>
      <c r="R11" s="173">
        <v>1680000</v>
      </c>
      <c r="S11" s="176">
        <v>67200</v>
      </c>
      <c r="T11">
        <v>1</v>
      </c>
      <c r="U11">
        <v>3</v>
      </c>
      <c r="V11" s="159" t="s">
        <v>121</v>
      </c>
      <c r="W11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(BIENES,MEDICAMENTOS,TABLETAS DE INVERMECTINA 6MG,0,0,0,0,0,0,0,0,0,0,0,INVEST-H,150000,11.2,1680000,67200,1,3,Fondos nacionales );</v>
      </c>
      <c r="X11" s="161" t="s">
        <v>123</v>
      </c>
    </row>
    <row r="12" spans="1:24" x14ac:dyDescent="0.25">
      <c r="A12" s="161" t="s">
        <v>141</v>
      </c>
      <c r="B12" s="161" t="s">
        <v>100</v>
      </c>
      <c r="C12" s="161" t="s">
        <v>142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1" t="s">
        <v>73</v>
      </c>
      <c r="P12" s="164">
        <v>1</v>
      </c>
      <c r="Q12" s="163">
        <v>1</v>
      </c>
      <c r="R12" s="163">
        <v>1940512.64</v>
      </c>
      <c r="S12" s="165">
        <v>77620.505599999989</v>
      </c>
      <c r="T12">
        <v>3</v>
      </c>
      <c r="U12">
        <v>3</v>
      </c>
      <c r="V12" s="159" t="s">
        <v>121</v>
      </c>
      <c r="W12" s="161" t="str">
        <f t="shared" si="0"/>
        <v>INSERT INTO `egac19_tempo`(`nivel`, `subnivel`, `descripcion`, `ejecutor`, `requerimiento`, `punitario`, `estimadolps`, `estimadousd`, `marzo`, `abril`, `mayo`, `junio`, `julio`, `agosto`, `ejecutorgasto`, `qcompra`, `cpunitario`, `e_montolps`, `e_montousd`, `tnivel`, `cinst`, `fuente`) VALUES (OBRAS,MEJORA DE INFRAESTRUCTURA,PAGO 1 SEGÚN CONTRATO No.CD-DCPV-116-2020 DE OBRA PARA LA CONSTRUCCION DE PLANTEL E INSTALACION DE HOSPITAL DE AISLAMIENTO MOVIL DE 91 CAMAS EN LA CIUDAD DE TEGUCIGALA.,0,0,0,0,0,0,0,0,0,0,0,INVEST-H,1,1,1940512.64,77620.5056,3,3,Fondos nacionales );</v>
      </c>
      <c r="X12" s="161" t="s">
        <v>143</v>
      </c>
    </row>
    <row r="13" spans="1:24" x14ac:dyDescent="0.25">
      <c r="X13" t="s">
        <v>144</v>
      </c>
    </row>
  </sheetData>
  <sortState ref="A1:X13">
    <sortCondition ref="B1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COPECO2</vt:lpstr>
      <vt:lpstr>Ejecución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Jairon Reynaldo Baquedano Alvarez</dc:creator>
  <cp:lastModifiedBy>dell</cp:lastModifiedBy>
  <cp:lastPrinted>2020-03-25T06:45:42Z</cp:lastPrinted>
  <dcterms:created xsi:type="dcterms:W3CDTF">2020-03-09T18:16:07Z</dcterms:created>
  <dcterms:modified xsi:type="dcterms:W3CDTF">2020-06-22T21:25:36Z</dcterms:modified>
</cp:coreProperties>
</file>